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9135"/>
  </bookViews>
  <sheets>
    <sheet name="2014-2016" sheetId="6" r:id="rId1"/>
  </sheets>
  <externalReferences>
    <externalReference r:id="rId2"/>
    <externalReference r:id="rId3"/>
  </externalReferences>
  <definedNames>
    <definedName name="_xlnm.Print_Titles" localSheetId="0">'2014-2016'!$10:$14</definedName>
    <definedName name="_xlnm.Print_Area" localSheetId="0">'2014-2016'!$A$1:$Y$677</definedName>
    <definedName name="стены">[1]Справочники!$A$201:$A$223</definedName>
  </definedNames>
  <calcPr calcId="125725"/>
</workbook>
</file>

<file path=xl/calcChain.xml><?xml version="1.0" encoding="utf-8"?>
<calcChain xmlns="http://schemas.openxmlformats.org/spreadsheetml/2006/main">
  <c r="E17" i="6"/>
  <c r="E16"/>
  <c r="E15"/>
  <c r="E666"/>
  <c r="E665"/>
  <c r="E664"/>
  <c r="E645"/>
  <c r="E644"/>
  <c r="E642"/>
  <c r="E641"/>
  <c r="E620"/>
  <c r="E619"/>
  <c r="E604"/>
  <c r="E594"/>
  <c r="E584"/>
  <c r="E583"/>
  <c r="E574"/>
  <c r="E566"/>
  <c r="E565"/>
  <c r="E555"/>
  <c r="E542"/>
  <c r="E512"/>
  <c r="E511"/>
  <c r="E454"/>
  <c r="E453"/>
  <c r="E452"/>
  <c r="E383"/>
  <c r="E382"/>
  <c r="E328"/>
  <c r="E308"/>
  <c r="E307"/>
  <c r="E292"/>
  <c r="E291"/>
  <c r="E290"/>
  <c r="E112"/>
  <c r="E111"/>
  <c r="E82"/>
  <c r="E81"/>
  <c r="E57"/>
  <c r="E56"/>
  <c r="E40"/>
  <c r="E39"/>
  <c r="Z23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45" s="1"/>
  <c r="Z46" s="1"/>
  <c r="Z47" s="1"/>
  <c r="Z48" s="1"/>
  <c r="Z49" s="1"/>
  <c r="Z50" s="1"/>
  <c r="Z51" s="1"/>
  <c r="Z52" s="1"/>
  <c r="Z53" s="1"/>
  <c r="Z54" s="1"/>
  <c r="Z66" s="1"/>
  <c r="Z67" s="1"/>
  <c r="Z68" s="1"/>
  <c r="Z69" s="1"/>
  <c r="Z70" s="1"/>
  <c r="Z71" s="1"/>
  <c r="Z72" s="1"/>
  <c r="Z73" s="1"/>
  <c r="Z74" s="1"/>
  <c r="Z75" s="1"/>
  <c r="Z76" s="1"/>
  <c r="Z77" s="1"/>
  <c r="Z78" s="1"/>
  <c r="Z79" s="1"/>
  <c r="Z90" s="1"/>
  <c r="Z91" s="1"/>
  <c r="Z92" s="1"/>
  <c r="Z93" s="1"/>
  <c r="Z94" s="1"/>
  <c r="Z95" s="1"/>
  <c r="Z96" s="1"/>
  <c r="Z97" s="1"/>
  <c r="Z98" s="1"/>
  <c r="Z99" s="1"/>
  <c r="Z100" s="1"/>
  <c r="Z101" s="1"/>
  <c r="Z102" s="1"/>
  <c r="Z103" s="1"/>
  <c r="Z104" s="1"/>
  <c r="Z105" s="1"/>
  <c r="Z106" s="1"/>
  <c r="Z107" s="1"/>
  <c r="Z108" s="1"/>
  <c r="Z109" s="1"/>
  <c r="Z182" s="1"/>
  <c r="Z183" s="1"/>
  <c r="Z184" s="1"/>
  <c r="Z185" s="1"/>
  <c r="Z186" s="1"/>
  <c r="Z187" s="1"/>
  <c r="Z188" s="1"/>
  <c r="Z189" s="1"/>
  <c r="Z190" s="1"/>
  <c r="Z191" s="1"/>
  <c r="Z192" s="1"/>
  <c r="Z193" s="1"/>
  <c r="Z194" s="1"/>
  <c r="Z195" s="1"/>
  <c r="Z196" s="1"/>
  <c r="Z197" s="1"/>
  <c r="Z198" s="1"/>
  <c r="Z199" s="1"/>
  <c r="Z200" s="1"/>
  <c r="Z201" s="1"/>
  <c r="Z202" s="1"/>
  <c r="Z203" s="1"/>
  <c r="Z204" s="1"/>
  <c r="Z205" s="1"/>
  <c r="Z206" s="1"/>
  <c r="Z207" s="1"/>
  <c r="Z208" s="1"/>
  <c r="Z209" s="1"/>
  <c r="Z210" s="1"/>
  <c r="Z211" s="1"/>
  <c r="Z212" s="1"/>
  <c r="Z213" s="1"/>
  <c r="Z214" s="1"/>
  <c r="Z215" s="1"/>
  <c r="Z216" s="1"/>
  <c r="Z217" s="1"/>
  <c r="Z218" s="1"/>
  <c r="Z219" s="1"/>
  <c r="Z220" s="1"/>
  <c r="Z221" s="1"/>
  <c r="Z222" s="1"/>
  <c r="Z223" s="1"/>
  <c r="Z224" s="1"/>
  <c r="Z225" s="1"/>
  <c r="Z226" s="1"/>
  <c r="Z227" s="1"/>
  <c r="Z228" s="1"/>
  <c r="Z229" s="1"/>
  <c r="Z230" s="1"/>
  <c r="Z231" s="1"/>
  <c r="Z232" s="1"/>
  <c r="Z233" s="1"/>
  <c r="Z234" s="1"/>
  <c r="Z235" s="1"/>
  <c r="Z236" s="1"/>
  <c r="Z237" s="1"/>
  <c r="Z238" s="1"/>
  <c r="Z239" s="1"/>
  <c r="Z240" s="1"/>
  <c r="Z241" s="1"/>
  <c r="Z242" s="1"/>
  <c r="Z243" s="1"/>
  <c r="Z244" s="1"/>
  <c r="Z245" s="1"/>
  <c r="Z246" s="1"/>
  <c r="Z247" s="1"/>
  <c r="Z248" s="1"/>
  <c r="Z249" s="1"/>
  <c r="Z250" s="1"/>
  <c r="Z251" s="1"/>
  <c r="Z252" s="1"/>
  <c r="Z253" s="1"/>
  <c r="Z254" s="1"/>
  <c r="Z255" s="1"/>
  <c r="Z256" s="1"/>
  <c r="Z257" s="1"/>
  <c r="Z258" s="1"/>
  <c r="Z259" s="1"/>
  <c r="Z260" s="1"/>
  <c r="Z261" s="1"/>
  <c r="Z262" s="1"/>
  <c r="Z263" s="1"/>
  <c r="Z264" s="1"/>
  <c r="Z265" s="1"/>
  <c r="Z266" s="1"/>
  <c r="Z267" s="1"/>
  <c r="Z268" s="1"/>
  <c r="Z269" s="1"/>
  <c r="Z270" s="1"/>
  <c r="Z271" s="1"/>
  <c r="Z272" s="1"/>
  <c r="Z273" s="1"/>
  <c r="Z274" s="1"/>
  <c r="Z275" s="1"/>
  <c r="Z276" s="1"/>
  <c r="Z277" s="1"/>
  <c r="Z278" s="1"/>
  <c r="Z279" s="1"/>
  <c r="Z280" s="1"/>
  <c r="Z281" s="1"/>
  <c r="Z282" s="1"/>
  <c r="Z283" s="1"/>
  <c r="Z284" s="1"/>
  <c r="Z285" s="1"/>
  <c r="Z286" s="1"/>
  <c r="Z287" s="1"/>
  <c r="Z288" s="1"/>
  <c r="Z289" s="1"/>
  <c r="Z297" s="1"/>
  <c r="Z298" s="1"/>
  <c r="Z299" s="1"/>
  <c r="Z300" s="1"/>
  <c r="Z301" s="1"/>
  <c r="Z302" s="1"/>
  <c r="Z303" s="1"/>
  <c r="Z304" s="1"/>
  <c r="Z305" s="1"/>
  <c r="Z310" s="1"/>
  <c r="Z311" s="1"/>
  <c r="Z312" s="1"/>
  <c r="Z313" s="1"/>
  <c r="Z314" s="1"/>
  <c r="Z315" s="1"/>
  <c r="Z316" s="1"/>
  <c r="Z317" s="1"/>
  <c r="Z318" s="1"/>
  <c r="Z319" s="1"/>
  <c r="Z320" s="1"/>
  <c r="Z321" s="1"/>
  <c r="Z322" s="1"/>
  <c r="Z323" s="1"/>
  <c r="Z324" s="1"/>
  <c r="Z325" s="1"/>
  <c r="Z352" s="1"/>
  <c r="Z353" s="1"/>
  <c r="Z354" s="1"/>
  <c r="Z355" s="1"/>
  <c r="Z356" s="1"/>
  <c r="Z357" s="1"/>
  <c r="Z358" s="1"/>
  <c r="Z359" s="1"/>
  <c r="Z360" s="1"/>
  <c r="Z361" s="1"/>
  <c r="Z362" s="1"/>
  <c r="Z363" s="1"/>
  <c r="Z364" s="1"/>
  <c r="Z365" s="1"/>
  <c r="Z366" s="1"/>
  <c r="Z367" s="1"/>
  <c r="Z368" s="1"/>
  <c r="Z369" s="1"/>
  <c r="Z370" s="1"/>
  <c r="Z371" s="1"/>
  <c r="Z372" s="1"/>
  <c r="Z373" s="1"/>
  <c r="Z374" s="1"/>
  <c r="Z375" s="1"/>
  <c r="Z376" s="1"/>
  <c r="Z377" s="1"/>
  <c r="Z378" s="1"/>
  <c r="Z379" s="1"/>
  <c r="Z380" s="1"/>
  <c r="Z385" s="1"/>
  <c r="Z386" s="1"/>
  <c r="Z391" s="1"/>
  <c r="Z392" s="1"/>
  <c r="Z397" s="1"/>
  <c r="Z398" s="1"/>
  <c r="Z436" s="1"/>
  <c r="Z437" s="1"/>
  <c r="Z438" s="1"/>
  <c r="Z439" s="1"/>
  <c r="Z440" s="1"/>
  <c r="Z441" s="1"/>
  <c r="Z442" s="1"/>
  <c r="Z443" s="1"/>
  <c r="Z444" s="1"/>
  <c r="Z445" s="1"/>
  <c r="Z446" s="1"/>
  <c r="Z447" s="1"/>
  <c r="Z448" s="1"/>
  <c r="Z449" s="1"/>
  <c r="Z450" s="1"/>
  <c r="Z451" s="1"/>
  <c r="Z457" s="1"/>
  <c r="Z458" s="1"/>
  <c r="Z463" s="1"/>
  <c r="Z472" s="1"/>
  <c r="Z487" s="1"/>
  <c r="Z488" s="1"/>
  <c r="Z489" s="1"/>
  <c r="Z490" s="1"/>
  <c r="Z491" s="1"/>
  <c r="Z492" s="1"/>
  <c r="Z493" s="1"/>
  <c r="Z494" s="1"/>
  <c r="Z495" s="1"/>
  <c r="Z496" s="1"/>
  <c r="Z497" s="1"/>
  <c r="Z498" s="1"/>
  <c r="Z499" s="1"/>
  <c r="Z500" s="1"/>
  <c r="Z501" s="1"/>
  <c r="Z502" s="1"/>
  <c r="Z503" s="1"/>
  <c r="Z504" s="1"/>
  <c r="Z505" s="1"/>
  <c r="Z506" s="1"/>
  <c r="Z507" s="1"/>
  <c r="Z508" s="1"/>
  <c r="Z509" s="1"/>
  <c r="Z518" s="1"/>
  <c r="Z525" s="1"/>
  <c r="Z530" s="1"/>
  <c r="Z531" s="1"/>
  <c r="Z532" s="1"/>
  <c r="Z533" s="1"/>
  <c r="Z534" s="1"/>
  <c r="Z535" s="1"/>
  <c r="Z536" s="1"/>
  <c r="Z537" s="1"/>
  <c r="Z538" s="1"/>
  <c r="Z539" s="1"/>
  <c r="Z544" s="1"/>
  <c r="Z549" s="1"/>
  <c r="Z550" s="1"/>
  <c r="Z551" s="1"/>
  <c r="Z552" s="1"/>
  <c r="Z560" s="1"/>
  <c r="Z561" s="1"/>
  <c r="Z562" s="1"/>
  <c r="Z563" s="1"/>
  <c r="Z571" s="1"/>
  <c r="Z572" s="1"/>
  <c r="Z577" s="1"/>
  <c r="Z578" s="1"/>
  <c r="Z590" s="1"/>
  <c r="Z591" s="1"/>
  <c r="Z592" s="1"/>
  <c r="Z597" s="1"/>
  <c r="Z598" s="1"/>
  <c r="Z599" s="1"/>
  <c r="Z611" s="1"/>
  <c r="Z612" s="1"/>
  <c r="Z613" s="1"/>
  <c r="Z614" s="1"/>
  <c r="Z615" s="1"/>
  <c r="Z616" s="1"/>
  <c r="Z617" s="1"/>
  <c r="Z633" s="1"/>
  <c r="Z634" s="1"/>
  <c r="Z635" s="1"/>
  <c r="Z636" s="1"/>
  <c r="Z637" s="1"/>
  <c r="Z638" s="1"/>
  <c r="Z639" s="1"/>
  <c r="Z658" s="1"/>
  <c r="Z659" s="1"/>
  <c r="Z660" s="1"/>
  <c r="Z661" s="1"/>
  <c r="Z662" s="1"/>
  <c r="Z663" s="1"/>
  <c r="F111" l="1"/>
  <c r="H111"/>
  <c r="I111"/>
  <c r="J111"/>
  <c r="K111"/>
  <c r="L111"/>
  <c r="M111"/>
  <c r="N111"/>
  <c r="O111"/>
  <c r="P111"/>
  <c r="Q111"/>
  <c r="R111"/>
  <c r="S111"/>
  <c r="U111"/>
  <c r="F112"/>
  <c r="J112"/>
  <c r="M112"/>
  <c r="O112"/>
  <c r="P112"/>
  <c r="Q112"/>
  <c r="R112"/>
  <c r="S112"/>
  <c r="T112"/>
  <c r="U112"/>
  <c r="V112"/>
  <c r="H643"/>
  <c r="I643"/>
  <c r="J643"/>
  <c r="K643"/>
  <c r="L643"/>
  <c r="M643"/>
  <c r="N643"/>
  <c r="O643"/>
  <c r="P643"/>
  <c r="Q643"/>
  <c r="R643"/>
  <c r="S643"/>
  <c r="T643"/>
  <c r="U643"/>
  <c r="V643"/>
  <c r="W643"/>
  <c r="I644"/>
  <c r="L644"/>
  <c r="N644"/>
  <c r="P644"/>
  <c r="R644"/>
  <c r="G643"/>
  <c r="F643"/>
  <c r="E643"/>
  <c r="O611"/>
  <c r="H611"/>
  <c r="K611"/>
  <c r="K612" l="1"/>
  <c r="H612"/>
  <c r="Q663"/>
  <c r="Q662"/>
  <c r="H660"/>
  <c r="O636"/>
  <c r="H633"/>
  <c r="H638"/>
  <c r="K572"/>
  <c r="H277"/>
  <c r="O268"/>
  <c r="O250"/>
  <c r="O235"/>
  <c r="O206"/>
  <c r="O191"/>
  <c r="O192"/>
  <c r="O189"/>
  <c r="O188"/>
  <c r="O260"/>
  <c r="O266"/>
  <c r="O265"/>
  <c r="O241"/>
  <c r="O284"/>
  <c r="O283"/>
  <c r="H258"/>
  <c r="O251"/>
  <c r="H247"/>
  <c r="O227"/>
  <c r="O53"/>
  <c r="O54"/>
  <c r="H244"/>
  <c r="O598" l="1"/>
  <c r="O597"/>
  <c r="T39"/>
  <c r="T40"/>
  <c r="T43"/>
  <c r="T44"/>
  <c r="T57"/>
  <c r="T81"/>
  <c r="T82"/>
  <c r="T84"/>
  <c r="T85"/>
  <c r="T290"/>
  <c r="T291"/>
  <c r="T292"/>
  <c r="T307"/>
  <c r="T308"/>
  <c r="T328"/>
  <c r="T346"/>
  <c r="T341"/>
  <c r="T342"/>
  <c r="T383"/>
  <c r="T389"/>
  <c r="T395"/>
  <c r="T401"/>
  <c r="T452"/>
  <c r="T453"/>
  <c r="T454"/>
  <c r="T461"/>
  <c r="T466"/>
  <c r="T475"/>
  <c r="T511"/>
  <c r="T514" s="1"/>
  <c r="T512"/>
  <c r="T513"/>
  <c r="T521"/>
  <c r="T527"/>
  <c r="T528"/>
  <c r="T542"/>
  <c r="T547"/>
  <c r="T555"/>
  <c r="T565"/>
  <c r="T566"/>
  <c r="T569"/>
  <c r="T568"/>
  <c r="T575"/>
  <c r="T581"/>
  <c r="T582"/>
  <c r="T594"/>
  <c r="T595"/>
  <c r="T602"/>
  <c r="T603"/>
  <c r="T604"/>
  <c r="T619"/>
  <c r="T620"/>
  <c r="T641"/>
  <c r="T644" s="1"/>
  <c r="T642"/>
  <c r="T657"/>
  <c r="T665" s="1"/>
  <c r="T668" s="1"/>
  <c r="T664"/>
  <c r="T667" s="1"/>
  <c r="T666"/>
  <c r="T669" s="1"/>
  <c r="T680"/>
  <c r="T17" l="1"/>
  <c r="T15"/>
  <c r="T645"/>
  <c r="T574"/>
  <c r="T583" s="1"/>
  <c r="T605"/>
  <c r="T515"/>
  <c r="T584"/>
  <c r="T382"/>
  <c r="K603"/>
  <c r="H321" l="1"/>
  <c r="H319"/>
  <c r="H318"/>
  <c r="H328" l="1"/>
  <c r="J328"/>
  <c r="M328"/>
  <c r="N328"/>
  <c r="O328"/>
  <c r="P328"/>
  <c r="Q328"/>
  <c r="R328"/>
  <c r="S328"/>
  <c r="U328"/>
  <c r="V328"/>
  <c r="F328"/>
  <c r="L373" l="1"/>
  <c r="G373"/>
  <c r="W373" s="1"/>
  <c r="H533" l="1"/>
  <c r="H530"/>
  <c r="E680"/>
  <c r="F680"/>
  <c r="G680"/>
  <c r="H680"/>
  <c r="I680"/>
  <c r="J680"/>
  <c r="K680"/>
  <c r="L680"/>
  <c r="M680"/>
  <c r="N680"/>
  <c r="O680"/>
  <c r="P680"/>
  <c r="Q680"/>
  <c r="R680"/>
  <c r="S680"/>
  <c r="U680"/>
  <c r="V680"/>
  <c r="W680"/>
  <c r="E663" l="1"/>
  <c r="E660"/>
  <c r="K300"/>
  <c r="E633" l="1"/>
  <c r="E635"/>
  <c r="F635" s="1"/>
  <c r="O635" s="1"/>
  <c r="E531"/>
  <c r="F531"/>
  <c r="F491"/>
  <c r="H491" s="1"/>
  <c r="E208"/>
  <c r="Q598" l="1"/>
  <c r="K598"/>
  <c r="H598"/>
  <c r="Q597"/>
  <c r="K597"/>
  <c r="H597"/>
  <c r="O561"/>
  <c r="O530"/>
  <c r="K530"/>
  <c r="O531"/>
  <c r="K531"/>
  <c r="H531"/>
  <c r="O532"/>
  <c r="K532"/>
  <c r="H532"/>
  <c r="K503"/>
  <c r="H497"/>
  <c r="H496"/>
  <c r="H490"/>
  <c r="K320"/>
  <c r="K317"/>
  <c r="Q298"/>
  <c r="O298"/>
  <c r="M298"/>
  <c r="Q297"/>
  <c r="O297"/>
  <c r="M297"/>
  <c r="O305"/>
  <c r="K305"/>
  <c r="H300"/>
  <c r="Q299"/>
  <c r="O299"/>
  <c r="M299"/>
  <c r="K272"/>
  <c r="H267"/>
  <c r="K236"/>
  <c r="K235"/>
  <c r="K226"/>
  <c r="K220"/>
  <c r="Q218"/>
  <c r="K218"/>
  <c r="K208"/>
  <c r="K206"/>
  <c r="O197"/>
  <c r="K197"/>
  <c r="O286"/>
  <c r="K286"/>
  <c r="K285"/>
  <c r="K284"/>
  <c r="K278"/>
  <c r="K259"/>
  <c r="K251"/>
  <c r="K217"/>
  <c r="K221"/>
  <c r="Q231"/>
  <c r="O190"/>
  <c r="K190"/>
  <c r="K92"/>
  <c r="Q183"/>
  <c r="K328" l="1"/>
  <c r="G206"/>
  <c r="H575"/>
  <c r="I575"/>
  <c r="J575"/>
  <c r="M575"/>
  <c r="N575"/>
  <c r="O575"/>
  <c r="P575"/>
  <c r="Q575"/>
  <c r="R575"/>
  <c r="S575"/>
  <c r="U575"/>
  <c r="V575"/>
  <c r="F575"/>
  <c r="E575"/>
  <c r="L572"/>
  <c r="K575" l="1"/>
  <c r="G572"/>
  <c r="W572" l="1"/>
  <c r="V666" l="1"/>
  <c r="V669" s="1"/>
  <c r="U666"/>
  <c r="U669" s="1"/>
  <c r="S666"/>
  <c r="S669" s="1"/>
  <c r="M666"/>
  <c r="M669" s="1"/>
  <c r="K666"/>
  <c r="K669" s="1"/>
  <c r="J666"/>
  <c r="J669" s="1"/>
  <c r="F666"/>
  <c r="F669" s="1"/>
  <c r="E669"/>
  <c r="W665"/>
  <c r="W668" s="1"/>
  <c r="U665"/>
  <c r="U668" s="1"/>
  <c r="S665"/>
  <c r="S668" s="1"/>
  <c r="Q665"/>
  <c r="Q668" s="1"/>
  <c r="O665"/>
  <c r="O668" s="1"/>
  <c r="M665"/>
  <c r="M668" s="1"/>
  <c r="K665"/>
  <c r="K668" s="1"/>
  <c r="J665"/>
  <c r="J668" s="1"/>
  <c r="H665"/>
  <c r="H668" s="1"/>
  <c r="F665"/>
  <c r="F668" s="1"/>
  <c r="E668"/>
  <c r="W664"/>
  <c r="W667" s="1"/>
  <c r="V664"/>
  <c r="V667" s="1"/>
  <c r="U664"/>
  <c r="U667" s="1"/>
  <c r="S664"/>
  <c r="S667" s="1"/>
  <c r="Q664"/>
  <c r="Q667" s="1"/>
  <c r="O664"/>
  <c r="O667" s="1"/>
  <c r="M664"/>
  <c r="M667" s="1"/>
  <c r="K664"/>
  <c r="K667" s="1"/>
  <c r="J664"/>
  <c r="J667" s="1"/>
  <c r="H664"/>
  <c r="H667" s="1"/>
  <c r="F664"/>
  <c r="F667" s="1"/>
  <c r="E667"/>
  <c r="R663"/>
  <c r="G662"/>
  <c r="W662" s="1"/>
  <c r="H661"/>
  <c r="G661" s="1"/>
  <c r="W661" s="1"/>
  <c r="G660"/>
  <c r="W660" s="1"/>
  <c r="O659"/>
  <c r="P659" s="1"/>
  <c r="H659"/>
  <c r="O658"/>
  <c r="H658"/>
  <c r="I658" s="1"/>
  <c r="G657"/>
  <c r="G665" s="1"/>
  <c r="G668" s="1"/>
  <c r="G650"/>
  <c r="G648"/>
  <c r="G649"/>
  <c r="G652"/>
  <c r="G655"/>
  <c r="G653"/>
  <c r="G654"/>
  <c r="G656"/>
  <c r="G651"/>
  <c r="V642"/>
  <c r="U642"/>
  <c r="S642"/>
  <c r="Q642"/>
  <c r="M642"/>
  <c r="K642"/>
  <c r="J642"/>
  <c r="V641"/>
  <c r="U641"/>
  <c r="S641"/>
  <c r="Q641"/>
  <c r="O641"/>
  <c r="M641"/>
  <c r="K641"/>
  <c r="J641"/>
  <c r="H641"/>
  <c r="G638"/>
  <c r="W638" s="1"/>
  <c r="H639"/>
  <c r="I639" s="1"/>
  <c r="P636"/>
  <c r="I636"/>
  <c r="P633"/>
  <c r="I633"/>
  <c r="F642"/>
  <c r="I635"/>
  <c r="H634"/>
  <c r="I634" s="1"/>
  <c r="G632"/>
  <c r="W632" s="1"/>
  <c r="G631"/>
  <c r="W631" s="1"/>
  <c r="G630"/>
  <c r="W630" s="1"/>
  <c r="G629"/>
  <c r="W629" s="1"/>
  <c r="G628"/>
  <c r="W628" s="1"/>
  <c r="G627"/>
  <c r="W627" s="1"/>
  <c r="G625"/>
  <c r="W625" s="1"/>
  <c r="F641"/>
  <c r="E625"/>
  <c r="G624"/>
  <c r="W624" s="1"/>
  <c r="G626"/>
  <c r="W626" s="1"/>
  <c r="G623"/>
  <c r="W623" s="1"/>
  <c r="G622"/>
  <c r="W622" s="1"/>
  <c r="V620"/>
  <c r="U620"/>
  <c r="S620"/>
  <c r="R620"/>
  <c r="R645" s="1"/>
  <c r="Q620"/>
  <c r="O620"/>
  <c r="M620"/>
  <c r="K620"/>
  <c r="J620"/>
  <c r="F620"/>
  <c r="V619"/>
  <c r="U619"/>
  <c r="S619"/>
  <c r="Q619"/>
  <c r="O619"/>
  <c r="M619"/>
  <c r="K619"/>
  <c r="J619"/>
  <c r="H619"/>
  <c r="F619"/>
  <c r="G617"/>
  <c r="W617" s="1"/>
  <c r="G615"/>
  <c r="W615" s="1"/>
  <c r="I616"/>
  <c r="G616"/>
  <c r="W616" s="1"/>
  <c r="N614"/>
  <c r="N620" s="1"/>
  <c r="N645" s="1"/>
  <c r="I614"/>
  <c r="G614"/>
  <c r="W614" s="1"/>
  <c r="I613"/>
  <c r="G613"/>
  <c r="W613" s="1"/>
  <c r="L612"/>
  <c r="G612"/>
  <c r="W612" s="1"/>
  <c r="P611"/>
  <c r="P620" s="1"/>
  <c r="P645" s="1"/>
  <c r="L611"/>
  <c r="I611"/>
  <c r="G611"/>
  <c r="G610"/>
  <c r="W610" s="1"/>
  <c r="G609"/>
  <c r="W609" s="1"/>
  <c r="G608"/>
  <c r="R604"/>
  <c r="P604"/>
  <c r="N604"/>
  <c r="L604"/>
  <c r="I604"/>
  <c r="W603"/>
  <c r="V603"/>
  <c r="U603"/>
  <c r="S603"/>
  <c r="R603"/>
  <c r="Q603"/>
  <c r="P603"/>
  <c r="O603"/>
  <c r="N603"/>
  <c r="M603"/>
  <c r="L603"/>
  <c r="J603"/>
  <c r="I603"/>
  <c r="H603"/>
  <c r="G603"/>
  <c r="F603"/>
  <c r="E603"/>
  <c r="V602"/>
  <c r="U602"/>
  <c r="S602"/>
  <c r="Q602"/>
  <c r="O602"/>
  <c r="N602"/>
  <c r="N605" s="1"/>
  <c r="M602"/>
  <c r="K602"/>
  <c r="J602"/>
  <c r="H602"/>
  <c r="F602"/>
  <c r="E602"/>
  <c r="P599"/>
  <c r="I599"/>
  <c r="G599"/>
  <c r="W599" s="1"/>
  <c r="R598"/>
  <c r="P598"/>
  <c r="L598"/>
  <c r="I598"/>
  <c r="G598"/>
  <c r="W598" s="1"/>
  <c r="R597"/>
  <c r="P597"/>
  <c r="L597"/>
  <c r="I597"/>
  <c r="G597"/>
  <c r="V595"/>
  <c r="U595"/>
  <c r="S595"/>
  <c r="Q595"/>
  <c r="O595"/>
  <c r="M595"/>
  <c r="K595"/>
  <c r="J595"/>
  <c r="H595"/>
  <c r="F595"/>
  <c r="E595"/>
  <c r="V594"/>
  <c r="V604" s="1"/>
  <c r="U594"/>
  <c r="U604" s="1"/>
  <c r="S594"/>
  <c r="S604" s="1"/>
  <c r="Q594"/>
  <c r="Q604" s="1"/>
  <c r="O594"/>
  <c r="O604" s="1"/>
  <c r="M594"/>
  <c r="M604" s="1"/>
  <c r="K594"/>
  <c r="K604" s="1"/>
  <c r="J594"/>
  <c r="J604" s="1"/>
  <c r="H594"/>
  <c r="H604" s="1"/>
  <c r="F594"/>
  <c r="F604" s="1"/>
  <c r="I592"/>
  <c r="G592"/>
  <c r="W592" s="1"/>
  <c r="I591"/>
  <c r="G591"/>
  <c r="W591" s="1"/>
  <c r="I590"/>
  <c r="G590"/>
  <c r="W590" s="1"/>
  <c r="G589"/>
  <c r="W589" s="1"/>
  <c r="G588"/>
  <c r="W588" s="1"/>
  <c r="G587"/>
  <c r="R583"/>
  <c r="P583"/>
  <c r="N583"/>
  <c r="L583"/>
  <c r="I583"/>
  <c r="W582"/>
  <c r="V582"/>
  <c r="U582"/>
  <c r="S582"/>
  <c r="R582"/>
  <c r="Q582"/>
  <c r="P582"/>
  <c r="O582"/>
  <c r="N582"/>
  <c r="M582"/>
  <c r="L582"/>
  <c r="K582"/>
  <c r="J582"/>
  <c r="I582"/>
  <c r="H582"/>
  <c r="G582"/>
  <c r="F582"/>
  <c r="E582"/>
  <c r="V581"/>
  <c r="U581"/>
  <c r="S581"/>
  <c r="Q581"/>
  <c r="O581"/>
  <c r="K581"/>
  <c r="J581"/>
  <c r="F581"/>
  <c r="E581"/>
  <c r="M578"/>
  <c r="N578" s="1"/>
  <c r="H578"/>
  <c r="M577"/>
  <c r="H577"/>
  <c r="I577" s="1"/>
  <c r="W574"/>
  <c r="U574"/>
  <c r="S574"/>
  <c r="Q574"/>
  <c r="O574"/>
  <c r="M574"/>
  <c r="J574"/>
  <c r="H574"/>
  <c r="F574"/>
  <c r="L571"/>
  <c r="L575" s="1"/>
  <c r="G571"/>
  <c r="K570"/>
  <c r="G570" s="1"/>
  <c r="K568"/>
  <c r="G568" s="1"/>
  <c r="G569"/>
  <c r="V566"/>
  <c r="U566"/>
  <c r="S566"/>
  <c r="Q566"/>
  <c r="O566"/>
  <c r="M566"/>
  <c r="K566"/>
  <c r="J566"/>
  <c r="H566"/>
  <c r="F566"/>
  <c r="W565"/>
  <c r="U565"/>
  <c r="S565"/>
  <c r="Q565"/>
  <c r="O565"/>
  <c r="M565"/>
  <c r="K565"/>
  <c r="J565"/>
  <c r="H565"/>
  <c r="F565"/>
  <c r="P561"/>
  <c r="L561"/>
  <c r="G561"/>
  <c r="W561" s="1"/>
  <c r="L562"/>
  <c r="G562"/>
  <c r="W562" s="1"/>
  <c r="L560"/>
  <c r="G560"/>
  <c r="W560" s="1"/>
  <c r="L563"/>
  <c r="G563"/>
  <c r="W563" s="1"/>
  <c r="G559"/>
  <c r="V559" s="1"/>
  <c r="G558"/>
  <c r="V558" s="1"/>
  <c r="G557"/>
  <c r="W555"/>
  <c r="U555"/>
  <c r="S555"/>
  <c r="R555"/>
  <c r="Q555"/>
  <c r="P555"/>
  <c r="O555"/>
  <c r="N555"/>
  <c r="M555"/>
  <c r="K555"/>
  <c r="J555"/>
  <c r="F555"/>
  <c r="H552"/>
  <c r="G552" s="1"/>
  <c r="V552" s="1"/>
  <c r="L551"/>
  <c r="L555" s="1"/>
  <c r="I551"/>
  <c r="G551"/>
  <c r="V551" s="1"/>
  <c r="H550"/>
  <c r="H549"/>
  <c r="G549" s="1"/>
  <c r="V549" s="1"/>
  <c r="V547"/>
  <c r="U547"/>
  <c r="S547"/>
  <c r="Q547"/>
  <c r="O547"/>
  <c r="M547"/>
  <c r="K547"/>
  <c r="J547"/>
  <c r="H547"/>
  <c r="F547"/>
  <c r="E547"/>
  <c r="L544"/>
  <c r="G544"/>
  <c r="G547" s="1"/>
  <c r="U542"/>
  <c r="S542"/>
  <c r="R542"/>
  <c r="Q542"/>
  <c r="O542"/>
  <c r="M542"/>
  <c r="K542"/>
  <c r="J542"/>
  <c r="F542"/>
  <c r="P534"/>
  <c r="L534"/>
  <c r="G534"/>
  <c r="W534" s="1"/>
  <c r="P538"/>
  <c r="L538"/>
  <c r="G538"/>
  <c r="W538" s="1"/>
  <c r="P533"/>
  <c r="L533"/>
  <c r="I533"/>
  <c r="G533"/>
  <c r="V542"/>
  <c r="P530"/>
  <c r="L530"/>
  <c r="I530"/>
  <c r="P531"/>
  <c r="L531"/>
  <c r="G531"/>
  <c r="W531" s="1"/>
  <c r="P535"/>
  <c r="L535"/>
  <c r="H535"/>
  <c r="I535" s="1"/>
  <c r="P537"/>
  <c r="L537"/>
  <c r="I537"/>
  <c r="G537"/>
  <c r="W537" s="1"/>
  <c r="P536"/>
  <c r="N536"/>
  <c r="N542" s="1"/>
  <c r="L536"/>
  <c r="H536"/>
  <c r="G536" s="1"/>
  <c r="P532"/>
  <c r="L532"/>
  <c r="P539"/>
  <c r="L539"/>
  <c r="I539"/>
  <c r="G539"/>
  <c r="W539" s="1"/>
  <c r="V528"/>
  <c r="U528"/>
  <c r="S528"/>
  <c r="Q528"/>
  <c r="O528"/>
  <c r="M528"/>
  <c r="K528"/>
  <c r="J528"/>
  <c r="H528"/>
  <c r="F528"/>
  <c r="E528"/>
  <c r="V527"/>
  <c r="U527"/>
  <c r="S527"/>
  <c r="Q527"/>
  <c r="O527"/>
  <c r="M527"/>
  <c r="K527"/>
  <c r="J527"/>
  <c r="H527"/>
  <c r="F527"/>
  <c r="E527"/>
  <c r="L525"/>
  <c r="G525"/>
  <c r="W525" s="1"/>
  <c r="W528" s="1"/>
  <c r="G524"/>
  <c r="W524" s="1"/>
  <c r="G523"/>
  <c r="V521"/>
  <c r="U521"/>
  <c r="S521"/>
  <c r="Q521"/>
  <c r="O521"/>
  <c r="M521"/>
  <c r="K521"/>
  <c r="J521"/>
  <c r="H521"/>
  <c r="F521"/>
  <c r="E521"/>
  <c r="L518"/>
  <c r="G518"/>
  <c r="G521" s="1"/>
  <c r="W513"/>
  <c r="V513"/>
  <c r="U513"/>
  <c r="S513"/>
  <c r="Q513"/>
  <c r="O513"/>
  <c r="M513"/>
  <c r="K513"/>
  <c r="J513"/>
  <c r="H513"/>
  <c r="G513"/>
  <c r="F513"/>
  <c r="E513"/>
  <c r="V512"/>
  <c r="U512"/>
  <c r="S512"/>
  <c r="Q512"/>
  <c r="M512"/>
  <c r="J512"/>
  <c r="F512"/>
  <c r="V511"/>
  <c r="V514" s="1"/>
  <c r="U511"/>
  <c r="U514" s="1"/>
  <c r="S511"/>
  <c r="S514" s="1"/>
  <c r="Q511"/>
  <c r="Q514" s="1"/>
  <c r="O511"/>
  <c r="O514" s="1"/>
  <c r="M511"/>
  <c r="M514" s="1"/>
  <c r="K511"/>
  <c r="J511"/>
  <c r="H511"/>
  <c r="F511"/>
  <c r="P500"/>
  <c r="K500"/>
  <c r="G500" s="1"/>
  <c r="W500" s="1"/>
  <c r="P502"/>
  <c r="K502"/>
  <c r="G502" s="1"/>
  <c r="W502" s="1"/>
  <c r="O499"/>
  <c r="P499" s="1"/>
  <c r="L499"/>
  <c r="P492"/>
  <c r="L492"/>
  <c r="H492"/>
  <c r="I492" s="1"/>
  <c r="P504"/>
  <c r="L504"/>
  <c r="H504"/>
  <c r="G504" s="1"/>
  <c r="W504" s="1"/>
  <c r="P505"/>
  <c r="L505"/>
  <c r="H505"/>
  <c r="G505" s="1"/>
  <c r="W505" s="1"/>
  <c r="P495"/>
  <c r="K495"/>
  <c r="L495" s="1"/>
  <c r="I495"/>
  <c r="P487"/>
  <c r="L487"/>
  <c r="H487"/>
  <c r="I487" s="1"/>
  <c r="P489"/>
  <c r="K489"/>
  <c r="L489" s="1"/>
  <c r="I489"/>
  <c r="O493"/>
  <c r="P493" s="1"/>
  <c r="L493"/>
  <c r="I493"/>
  <c r="O507"/>
  <c r="P507" s="1"/>
  <c r="L507"/>
  <c r="I507"/>
  <c r="O506"/>
  <c r="P506" s="1"/>
  <c r="L506"/>
  <c r="I506"/>
  <c r="O509"/>
  <c r="P509" s="1"/>
  <c r="L509"/>
  <c r="I509"/>
  <c r="O508"/>
  <c r="P508" s="1"/>
  <c r="L508"/>
  <c r="I508"/>
  <c r="P503"/>
  <c r="L503"/>
  <c r="I503"/>
  <c r="P501"/>
  <c r="K501"/>
  <c r="G501" s="1"/>
  <c r="W501" s="1"/>
  <c r="I501"/>
  <c r="P498"/>
  <c r="L498"/>
  <c r="H498"/>
  <c r="G498" s="1"/>
  <c r="W498" s="1"/>
  <c r="P497"/>
  <c r="L497"/>
  <c r="G497"/>
  <c r="W497" s="1"/>
  <c r="P496"/>
  <c r="L496"/>
  <c r="G496"/>
  <c r="W496" s="1"/>
  <c r="O494"/>
  <c r="P494" s="1"/>
  <c r="L494"/>
  <c r="I494"/>
  <c r="L491"/>
  <c r="G491"/>
  <c r="W491" s="1"/>
  <c r="K488"/>
  <c r="L488" s="1"/>
  <c r="I488"/>
  <c r="I490"/>
  <c r="G486"/>
  <c r="W486" s="1"/>
  <c r="G485"/>
  <c r="W485" s="1"/>
  <c r="G484"/>
  <c r="W484" s="1"/>
  <c r="G483"/>
  <c r="W483" s="1"/>
  <c r="G482"/>
  <c r="W482" s="1"/>
  <c r="G478"/>
  <c r="W478" s="1"/>
  <c r="G477"/>
  <c r="W477" s="1"/>
  <c r="G480"/>
  <c r="W480" s="1"/>
  <c r="G481"/>
  <c r="W481" s="1"/>
  <c r="G479"/>
  <c r="V475"/>
  <c r="U475"/>
  <c r="S475"/>
  <c r="Q475"/>
  <c r="O475"/>
  <c r="M475"/>
  <c r="K475"/>
  <c r="J475"/>
  <c r="H475"/>
  <c r="F475"/>
  <c r="E475"/>
  <c r="K474"/>
  <c r="J474"/>
  <c r="H474"/>
  <c r="F474"/>
  <c r="E474"/>
  <c r="L472"/>
  <c r="G472"/>
  <c r="G471"/>
  <c r="W471" s="1"/>
  <c r="G470"/>
  <c r="W470" s="1"/>
  <c r="G469"/>
  <c r="W469" s="1"/>
  <c r="G468"/>
  <c r="V466"/>
  <c r="U466"/>
  <c r="S466"/>
  <c r="Q466"/>
  <c r="O466"/>
  <c r="M466"/>
  <c r="K466"/>
  <c r="J466"/>
  <c r="H466"/>
  <c r="F466"/>
  <c r="E466"/>
  <c r="L463"/>
  <c r="G463"/>
  <c r="G466" s="1"/>
  <c r="W461"/>
  <c r="V461"/>
  <c r="U461"/>
  <c r="S461"/>
  <c r="Q461"/>
  <c r="M461"/>
  <c r="J461"/>
  <c r="H461"/>
  <c r="F461"/>
  <c r="E461"/>
  <c r="K458"/>
  <c r="K461" s="1"/>
  <c r="O457"/>
  <c r="G457" s="1"/>
  <c r="L457"/>
  <c r="V454"/>
  <c r="U454"/>
  <c r="S454"/>
  <c r="J454"/>
  <c r="F454"/>
  <c r="V453"/>
  <c r="U453"/>
  <c r="S453"/>
  <c r="R453"/>
  <c r="Q453"/>
  <c r="P453"/>
  <c r="O453"/>
  <c r="N453"/>
  <c r="M453"/>
  <c r="L453"/>
  <c r="K453"/>
  <c r="J453"/>
  <c r="I453"/>
  <c r="H453"/>
  <c r="F453"/>
  <c r="W452"/>
  <c r="U452"/>
  <c r="S452"/>
  <c r="R452"/>
  <c r="Q452"/>
  <c r="P452"/>
  <c r="O452"/>
  <c r="N452"/>
  <c r="M452"/>
  <c r="L452"/>
  <c r="K452"/>
  <c r="J452"/>
  <c r="I452"/>
  <c r="H452"/>
  <c r="O450"/>
  <c r="P450" s="1"/>
  <c r="K450"/>
  <c r="L450" s="1"/>
  <c r="H450"/>
  <c r="O439"/>
  <c r="P439" s="1"/>
  <c r="L439"/>
  <c r="I439"/>
  <c r="P449"/>
  <c r="L449"/>
  <c r="H449"/>
  <c r="P440"/>
  <c r="M440"/>
  <c r="M454" s="1"/>
  <c r="L440"/>
  <c r="H440"/>
  <c r="O438"/>
  <c r="P438" s="1"/>
  <c r="K438"/>
  <c r="L438" s="1"/>
  <c r="H438"/>
  <c r="I438" s="1"/>
  <c r="O437"/>
  <c r="P437" s="1"/>
  <c r="K437"/>
  <c r="L437" s="1"/>
  <c r="H437"/>
  <c r="O436"/>
  <c r="P436" s="1"/>
  <c r="K436"/>
  <c r="L436" s="1"/>
  <c r="H436"/>
  <c r="I436" s="1"/>
  <c r="P447"/>
  <c r="H447"/>
  <c r="I447" s="1"/>
  <c r="O448"/>
  <c r="H448"/>
  <c r="P442"/>
  <c r="Q454"/>
  <c r="P446"/>
  <c r="P444"/>
  <c r="G444"/>
  <c r="W444" s="1"/>
  <c r="P441"/>
  <c r="I441"/>
  <c r="G441"/>
  <c r="W441" s="1"/>
  <c r="P445"/>
  <c r="I445"/>
  <c r="G445"/>
  <c r="W445" s="1"/>
  <c r="P443"/>
  <c r="I443"/>
  <c r="G443"/>
  <c r="W443" s="1"/>
  <c r="P451"/>
  <c r="I451"/>
  <c r="G451"/>
  <c r="W451" s="1"/>
  <c r="G435"/>
  <c r="W435" s="1"/>
  <c r="G434"/>
  <c r="W434" s="1"/>
  <c r="G405"/>
  <c r="V405" s="1"/>
  <c r="G404"/>
  <c r="V404" s="1"/>
  <c r="G421"/>
  <c r="V421" s="1"/>
  <c r="G420"/>
  <c r="V420" s="1"/>
  <c r="G422"/>
  <c r="V422" s="1"/>
  <c r="G418"/>
  <c r="V418" s="1"/>
  <c r="G417"/>
  <c r="V417" s="1"/>
  <c r="G415"/>
  <c r="V415" s="1"/>
  <c r="G419"/>
  <c r="V419" s="1"/>
  <c r="G406"/>
  <c r="V406" s="1"/>
  <c r="G414"/>
  <c r="V414" s="1"/>
  <c r="G403"/>
  <c r="V403" s="1"/>
  <c r="G413"/>
  <c r="V413" s="1"/>
  <c r="G411"/>
  <c r="V411" s="1"/>
  <c r="G410"/>
  <c r="V410" s="1"/>
  <c r="G409"/>
  <c r="V409" s="1"/>
  <c r="G408"/>
  <c r="V408" s="1"/>
  <c r="G412"/>
  <c r="V412" s="1"/>
  <c r="G430"/>
  <c r="V430" s="1"/>
  <c r="G429"/>
  <c r="V429" s="1"/>
  <c r="G428"/>
  <c r="V428" s="1"/>
  <c r="G427"/>
  <c r="V427" s="1"/>
  <c r="G407"/>
  <c r="V407" s="1"/>
  <c r="G433"/>
  <c r="V433" s="1"/>
  <c r="F433"/>
  <c r="G432"/>
  <c r="V432" s="1"/>
  <c r="G431"/>
  <c r="V431" s="1"/>
  <c r="G416"/>
  <c r="V416" s="1"/>
  <c r="G424"/>
  <c r="V424" s="1"/>
  <c r="G423"/>
  <c r="V423" s="1"/>
  <c r="G426"/>
  <c r="V426" s="1"/>
  <c r="G425"/>
  <c r="V425" s="1"/>
  <c r="W401"/>
  <c r="U401"/>
  <c r="S401"/>
  <c r="Q401"/>
  <c r="O401"/>
  <c r="M401"/>
  <c r="K401"/>
  <c r="J401"/>
  <c r="E401"/>
  <c r="F398"/>
  <c r="F397"/>
  <c r="H397" s="1"/>
  <c r="G397" s="1"/>
  <c r="V395"/>
  <c r="U395"/>
  <c r="S395"/>
  <c r="Q395"/>
  <c r="O395"/>
  <c r="M395"/>
  <c r="K395"/>
  <c r="J395"/>
  <c r="H395"/>
  <c r="F395"/>
  <c r="E395"/>
  <c r="L392"/>
  <c r="G392"/>
  <c r="W392" s="1"/>
  <c r="G391"/>
  <c r="W391" s="1"/>
  <c r="V389"/>
  <c r="U389"/>
  <c r="S389"/>
  <c r="Q389"/>
  <c r="O389"/>
  <c r="M389"/>
  <c r="K389"/>
  <c r="J389"/>
  <c r="H389"/>
  <c r="F389"/>
  <c r="E389"/>
  <c r="L386"/>
  <c r="I386"/>
  <c r="G386"/>
  <c r="W386" s="1"/>
  <c r="L385"/>
  <c r="G385"/>
  <c r="V383"/>
  <c r="U383"/>
  <c r="S383"/>
  <c r="Q383"/>
  <c r="O383"/>
  <c r="M383"/>
  <c r="K383"/>
  <c r="J383"/>
  <c r="F383"/>
  <c r="U382"/>
  <c r="S382"/>
  <c r="Q382"/>
  <c r="O382"/>
  <c r="M382"/>
  <c r="K382"/>
  <c r="J382"/>
  <c r="H382"/>
  <c r="P353"/>
  <c r="L353"/>
  <c r="I353"/>
  <c r="G353"/>
  <c r="W353" s="1"/>
  <c r="P354"/>
  <c r="L354"/>
  <c r="I354"/>
  <c r="G354"/>
  <c r="W354" s="1"/>
  <c r="P352"/>
  <c r="L352"/>
  <c r="I352"/>
  <c r="G352"/>
  <c r="W352" s="1"/>
  <c r="I372"/>
  <c r="G372"/>
  <c r="W372" s="1"/>
  <c r="P371"/>
  <c r="I371"/>
  <c r="G371"/>
  <c r="W371" s="1"/>
  <c r="P363"/>
  <c r="G363"/>
  <c r="W363" s="1"/>
  <c r="P370"/>
  <c r="L370"/>
  <c r="G370"/>
  <c r="W370" s="1"/>
  <c r="P369"/>
  <c r="L369"/>
  <c r="I369"/>
  <c r="G369"/>
  <c r="W369" s="1"/>
  <c r="P367"/>
  <c r="L367"/>
  <c r="I367"/>
  <c r="G367"/>
  <c r="W367" s="1"/>
  <c r="P366"/>
  <c r="L366"/>
  <c r="H383"/>
  <c r="P365"/>
  <c r="L365"/>
  <c r="I365"/>
  <c r="G365"/>
  <c r="W365" s="1"/>
  <c r="P368"/>
  <c r="L368"/>
  <c r="I368"/>
  <c r="G368"/>
  <c r="W368" s="1"/>
  <c r="P364"/>
  <c r="L364"/>
  <c r="I364"/>
  <c r="G364"/>
  <c r="W364" s="1"/>
  <c r="P360"/>
  <c r="L360"/>
  <c r="I360"/>
  <c r="G360"/>
  <c r="W360" s="1"/>
  <c r="P362"/>
  <c r="L362"/>
  <c r="I362"/>
  <c r="G362"/>
  <c r="W362" s="1"/>
  <c r="P361"/>
  <c r="L361"/>
  <c r="I361"/>
  <c r="G361"/>
  <c r="W361" s="1"/>
  <c r="P359"/>
  <c r="L359"/>
  <c r="I359"/>
  <c r="G359"/>
  <c r="W359" s="1"/>
  <c r="P358"/>
  <c r="L358"/>
  <c r="I358"/>
  <c r="G358"/>
  <c r="W358" s="1"/>
  <c r="P357"/>
  <c r="L357"/>
  <c r="I357"/>
  <c r="G357"/>
  <c r="W357" s="1"/>
  <c r="P356"/>
  <c r="L356"/>
  <c r="I356"/>
  <c r="G356"/>
  <c r="W356" s="1"/>
  <c r="P355"/>
  <c r="L355"/>
  <c r="I355"/>
  <c r="G355"/>
  <c r="W355" s="1"/>
  <c r="P380"/>
  <c r="L380"/>
  <c r="I380"/>
  <c r="G380"/>
  <c r="W380" s="1"/>
  <c r="P377"/>
  <c r="L377"/>
  <c r="G377"/>
  <c r="W377" s="1"/>
  <c r="P376"/>
  <c r="L376"/>
  <c r="G376"/>
  <c r="W376" s="1"/>
  <c r="P375"/>
  <c r="L375"/>
  <c r="G375"/>
  <c r="W375" s="1"/>
  <c r="P374"/>
  <c r="L374"/>
  <c r="G374"/>
  <c r="W374" s="1"/>
  <c r="P379"/>
  <c r="L379"/>
  <c r="I379"/>
  <c r="G379"/>
  <c r="W379" s="1"/>
  <c r="P378"/>
  <c r="G378"/>
  <c r="W378" s="1"/>
  <c r="G351"/>
  <c r="W351" s="1"/>
  <c r="G350"/>
  <c r="W350" s="1"/>
  <c r="G349"/>
  <c r="W349" s="1"/>
  <c r="G347"/>
  <c r="W347" s="1"/>
  <c r="G348"/>
  <c r="W348" s="1"/>
  <c r="G337"/>
  <c r="G336"/>
  <c r="G338"/>
  <c r="G333"/>
  <c r="G335"/>
  <c r="G334"/>
  <c r="G332"/>
  <c r="G331"/>
  <c r="G330"/>
  <c r="G344"/>
  <c r="G343"/>
  <c r="G345"/>
  <c r="G340"/>
  <c r="F340"/>
  <c r="F382" s="1"/>
  <c r="G339"/>
  <c r="G342"/>
  <c r="G341"/>
  <c r="G346"/>
  <c r="L324"/>
  <c r="G324"/>
  <c r="L325"/>
  <c r="I325"/>
  <c r="G325"/>
  <c r="L322"/>
  <c r="I322"/>
  <c r="G322"/>
  <c r="L323"/>
  <c r="I323"/>
  <c r="G323"/>
  <c r="L320"/>
  <c r="I320"/>
  <c r="G320"/>
  <c r="L317"/>
  <c r="I317"/>
  <c r="G317"/>
  <c r="L315"/>
  <c r="I315"/>
  <c r="G315"/>
  <c r="L314"/>
  <c r="I314"/>
  <c r="G314"/>
  <c r="L313"/>
  <c r="I313"/>
  <c r="G313"/>
  <c r="L316"/>
  <c r="I316"/>
  <c r="G316"/>
  <c r="L310"/>
  <c r="I310"/>
  <c r="G310"/>
  <c r="L321"/>
  <c r="I321"/>
  <c r="L319"/>
  <c r="G319"/>
  <c r="W319" s="1"/>
  <c r="L318"/>
  <c r="I318"/>
  <c r="L312"/>
  <c r="I312"/>
  <c r="G312"/>
  <c r="W312" s="1"/>
  <c r="L311"/>
  <c r="I311"/>
  <c r="G311"/>
  <c r="W311" s="1"/>
  <c r="V308"/>
  <c r="U308"/>
  <c r="S308"/>
  <c r="Q308"/>
  <c r="O308"/>
  <c r="M308"/>
  <c r="K308"/>
  <c r="J308"/>
  <c r="H308"/>
  <c r="V307"/>
  <c r="U307"/>
  <c r="S307"/>
  <c r="Q307"/>
  <c r="O307"/>
  <c r="M307"/>
  <c r="K307"/>
  <c r="J307"/>
  <c r="H307"/>
  <c r="F307"/>
  <c r="I304"/>
  <c r="G304"/>
  <c r="W304" s="1"/>
  <c r="L303"/>
  <c r="I303"/>
  <c r="G303"/>
  <c r="W303" s="1"/>
  <c r="L302"/>
  <c r="I302"/>
  <c r="G302"/>
  <c r="W302" s="1"/>
  <c r="R298"/>
  <c r="P298"/>
  <c r="N298"/>
  <c r="L298"/>
  <c r="G298"/>
  <c r="W298" s="1"/>
  <c r="R297"/>
  <c r="P297"/>
  <c r="N297"/>
  <c r="L297"/>
  <c r="G297"/>
  <c r="W297" s="1"/>
  <c r="P305"/>
  <c r="L305"/>
  <c r="G305"/>
  <c r="W305" s="1"/>
  <c r="G301"/>
  <c r="W301" s="1"/>
  <c r="F301"/>
  <c r="F308" s="1"/>
  <c r="P300"/>
  <c r="L300"/>
  <c r="I300"/>
  <c r="G300"/>
  <c r="W300" s="1"/>
  <c r="R299"/>
  <c r="P299"/>
  <c r="N299"/>
  <c r="L299"/>
  <c r="I299"/>
  <c r="G299"/>
  <c r="G296"/>
  <c r="W296" s="1"/>
  <c r="G295"/>
  <c r="W295" s="1"/>
  <c r="G294"/>
  <c r="W294" s="1"/>
  <c r="V292"/>
  <c r="U292"/>
  <c r="S292"/>
  <c r="N292"/>
  <c r="M292"/>
  <c r="V291"/>
  <c r="U291"/>
  <c r="S291"/>
  <c r="R291"/>
  <c r="R16" s="1"/>
  <c r="Q291"/>
  <c r="P291"/>
  <c r="P16" s="1"/>
  <c r="O291"/>
  <c r="N291"/>
  <c r="N16" s="1"/>
  <c r="M291"/>
  <c r="L291"/>
  <c r="L16" s="1"/>
  <c r="K291"/>
  <c r="J291"/>
  <c r="I291"/>
  <c r="I16" s="1"/>
  <c r="H291"/>
  <c r="W290"/>
  <c r="W15" s="1"/>
  <c r="V290"/>
  <c r="U290"/>
  <c r="U15" s="1"/>
  <c r="S290"/>
  <c r="S15" s="1"/>
  <c r="R290"/>
  <c r="R15" s="1"/>
  <c r="Q290"/>
  <c r="Q15" s="1"/>
  <c r="P290"/>
  <c r="P15" s="1"/>
  <c r="O290"/>
  <c r="O15" s="1"/>
  <c r="N290"/>
  <c r="N15" s="1"/>
  <c r="M290"/>
  <c r="M15" s="1"/>
  <c r="L290"/>
  <c r="L15" s="1"/>
  <c r="K290"/>
  <c r="K15" s="1"/>
  <c r="J290"/>
  <c r="J15" s="1"/>
  <c r="I290"/>
  <c r="I15" s="1"/>
  <c r="H290"/>
  <c r="H15" s="1"/>
  <c r="F290"/>
  <c r="K289"/>
  <c r="L289" s="1"/>
  <c r="K182"/>
  <c r="G182" s="1"/>
  <c r="W182" s="1"/>
  <c r="L282"/>
  <c r="G282"/>
  <c r="W282" s="1"/>
  <c r="P281"/>
  <c r="L281"/>
  <c r="G281"/>
  <c r="W281" s="1"/>
  <c r="P280"/>
  <c r="L280"/>
  <c r="G280"/>
  <c r="W280" s="1"/>
  <c r="P287"/>
  <c r="L287"/>
  <c r="G287"/>
  <c r="W287" s="1"/>
  <c r="L277"/>
  <c r="I277"/>
  <c r="G277"/>
  <c r="W277" s="1"/>
  <c r="L276"/>
  <c r="I276"/>
  <c r="G276"/>
  <c r="W276" s="1"/>
  <c r="L274"/>
  <c r="G274"/>
  <c r="W274" s="1"/>
  <c r="L273"/>
  <c r="G273"/>
  <c r="W273" s="1"/>
  <c r="E273"/>
  <c r="L272"/>
  <c r="G272"/>
  <c r="W272" s="1"/>
  <c r="E272"/>
  <c r="L271"/>
  <c r="G271"/>
  <c r="W271" s="1"/>
  <c r="L269"/>
  <c r="H269"/>
  <c r="I269" s="1"/>
  <c r="P270"/>
  <c r="L270"/>
  <c r="I270"/>
  <c r="G270"/>
  <c r="W270" s="1"/>
  <c r="L268"/>
  <c r="I268"/>
  <c r="G268"/>
  <c r="W268" s="1"/>
  <c r="L267"/>
  <c r="I267"/>
  <c r="G267"/>
  <c r="W267" s="1"/>
  <c r="L264"/>
  <c r="I264"/>
  <c r="G264"/>
  <c r="W264" s="1"/>
  <c r="L261"/>
  <c r="H261"/>
  <c r="I261" s="1"/>
  <c r="P263"/>
  <c r="L263"/>
  <c r="G263"/>
  <c r="W263" s="1"/>
  <c r="L257"/>
  <c r="G257"/>
  <c r="W257" s="1"/>
  <c r="L256"/>
  <c r="G256"/>
  <c r="W256" s="1"/>
  <c r="L255"/>
  <c r="G255"/>
  <c r="W255" s="1"/>
  <c r="L254"/>
  <c r="I254"/>
  <c r="G254"/>
  <c r="W254" s="1"/>
  <c r="L253"/>
  <c r="I253"/>
  <c r="G253"/>
  <c r="W253" s="1"/>
  <c r="L252"/>
  <c r="H252"/>
  <c r="I252" s="1"/>
  <c r="P250"/>
  <c r="L250"/>
  <c r="I250"/>
  <c r="G250"/>
  <c r="L245"/>
  <c r="I245"/>
  <c r="G245"/>
  <c r="W245" s="1"/>
  <c r="L248"/>
  <c r="I248"/>
  <c r="G248"/>
  <c r="W248" s="1"/>
  <c r="P240"/>
  <c r="L240"/>
  <c r="I240"/>
  <c r="G240"/>
  <c r="W240" s="1"/>
  <c r="L237"/>
  <c r="H237"/>
  <c r="I237" s="1"/>
  <c r="P239"/>
  <c r="L239"/>
  <c r="G239"/>
  <c r="W239" s="1"/>
  <c r="L238"/>
  <c r="G238"/>
  <c r="W238" s="1"/>
  <c r="L236"/>
  <c r="G236"/>
  <c r="W236" s="1"/>
  <c r="P235"/>
  <c r="L235"/>
  <c r="G235"/>
  <c r="W235" s="1"/>
  <c r="L234"/>
  <c r="H234"/>
  <c r="I234" s="1"/>
  <c r="K230"/>
  <c r="G230" s="1"/>
  <c r="W230" s="1"/>
  <c r="L229"/>
  <c r="G229"/>
  <c r="W229" s="1"/>
  <c r="P228"/>
  <c r="L228"/>
  <c r="G228"/>
  <c r="W228" s="1"/>
  <c r="L226"/>
  <c r="G226"/>
  <c r="W226" s="1"/>
  <c r="E226"/>
  <c r="L225"/>
  <c r="J225"/>
  <c r="J292" s="1"/>
  <c r="G223"/>
  <c r="W223" s="1"/>
  <c r="L220"/>
  <c r="G220"/>
  <c r="W220" s="1"/>
  <c r="R218"/>
  <c r="L218"/>
  <c r="G218"/>
  <c r="W218" s="1"/>
  <c r="E218"/>
  <c r="G219"/>
  <c r="W219" s="1"/>
  <c r="E219"/>
  <c r="L216"/>
  <c r="G216"/>
  <c r="W216" s="1"/>
  <c r="L215"/>
  <c r="I215"/>
  <c r="G215"/>
  <c r="W215" s="1"/>
  <c r="P213"/>
  <c r="L213"/>
  <c r="G213"/>
  <c r="W213" s="1"/>
  <c r="P211"/>
  <c r="L211"/>
  <c r="G211"/>
  <c r="W211" s="1"/>
  <c r="P209"/>
  <c r="L209"/>
  <c r="G209"/>
  <c r="W209" s="1"/>
  <c r="P208"/>
  <c r="L208"/>
  <c r="G208"/>
  <c r="W208" s="1"/>
  <c r="P207"/>
  <c r="L207"/>
  <c r="G207"/>
  <c r="W207" s="1"/>
  <c r="P206"/>
  <c r="L206"/>
  <c r="W206"/>
  <c r="P205"/>
  <c r="L205"/>
  <c r="G205"/>
  <c r="W205" s="1"/>
  <c r="P204"/>
  <c r="L204"/>
  <c r="G204"/>
  <c r="W204" s="1"/>
  <c r="O201"/>
  <c r="P201" s="1"/>
  <c r="L201"/>
  <c r="P200"/>
  <c r="L200"/>
  <c r="G200"/>
  <c r="W200" s="1"/>
  <c r="O198"/>
  <c r="P198" s="1"/>
  <c r="L198"/>
  <c r="P194"/>
  <c r="L194"/>
  <c r="G194"/>
  <c r="W194" s="1"/>
  <c r="P192"/>
  <c r="L192"/>
  <c r="G192"/>
  <c r="P191"/>
  <c r="L191"/>
  <c r="P189"/>
  <c r="L189"/>
  <c r="G189"/>
  <c r="P188"/>
  <c r="L188"/>
  <c r="G188"/>
  <c r="P197"/>
  <c r="L197"/>
  <c r="G197"/>
  <c r="W197" s="1"/>
  <c r="L187"/>
  <c r="G187"/>
  <c r="W187" s="1"/>
  <c r="L186"/>
  <c r="H186"/>
  <c r="I186" s="1"/>
  <c r="L185"/>
  <c r="I185"/>
  <c r="G185"/>
  <c r="W185" s="1"/>
  <c r="O184"/>
  <c r="P184" s="1"/>
  <c r="L184"/>
  <c r="E184"/>
  <c r="P232"/>
  <c r="L232"/>
  <c r="H232"/>
  <c r="I232" s="1"/>
  <c r="P260"/>
  <c r="L260"/>
  <c r="O275"/>
  <c r="P275" s="1"/>
  <c r="L275"/>
  <c r="P266"/>
  <c r="L266"/>
  <c r="P265"/>
  <c r="L265"/>
  <c r="P241"/>
  <c r="L241"/>
  <c r="P286"/>
  <c r="L286"/>
  <c r="P285"/>
  <c r="G285"/>
  <c r="W285" s="1"/>
  <c r="P284"/>
  <c r="L284"/>
  <c r="P283"/>
  <c r="L283"/>
  <c r="O279"/>
  <c r="P279" s="1"/>
  <c r="L279"/>
  <c r="O288"/>
  <c r="P288" s="1"/>
  <c r="L288"/>
  <c r="F278"/>
  <c r="E278"/>
  <c r="O262"/>
  <c r="P262" s="1"/>
  <c r="K262"/>
  <c r="L262" s="1"/>
  <c r="G259"/>
  <c r="W259" s="1"/>
  <c r="F259"/>
  <c r="E259"/>
  <c r="G258"/>
  <c r="W258" s="1"/>
  <c r="F258"/>
  <c r="L258" s="1"/>
  <c r="E258"/>
  <c r="P251"/>
  <c r="L251"/>
  <c r="L217"/>
  <c r="G249"/>
  <c r="W249" s="1"/>
  <c r="F249"/>
  <c r="L249" s="1"/>
  <c r="G247"/>
  <c r="W247" s="1"/>
  <c r="F247"/>
  <c r="L247" s="1"/>
  <c r="E247"/>
  <c r="L246"/>
  <c r="H246"/>
  <c r="G246" s="1"/>
  <c r="W246" s="1"/>
  <c r="G244"/>
  <c r="F244"/>
  <c r="L244" s="1"/>
  <c r="E244"/>
  <c r="L242"/>
  <c r="G242"/>
  <c r="W242" s="1"/>
  <c r="L243"/>
  <c r="G243"/>
  <c r="W243" s="1"/>
  <c r="F233"/>
  <c r="K233" s="1"/>
  <c r="E233"/>
  <c r="F221"/>
  <c r="E221"/>
  <c r="G231"/>
  <c r="W231" s="1"/>
  <c r="F231"/>
  <c r="E231"/>
  <c r="P227"/>
  <c r="K227"/>
  <c r="L222"/>
  <c r="G222"/>
  <c r="W222" s="1"/>
  <c r="O214"/>
  <c r="G214" s="1"/>
  <c r="W214" s="1"/>
  <c r="L214"/>
  <c r="O212"/>
  <c r="P212" s="1"/>
  <c r="K212"/>
  <c r="O210"/>
  <c r="P210" s="1"/>
  <c r="K210"/>
  <c r="O203"/>
  <c r="G203" s="1"/>
  <c r="W203" s="1"/>
  <c r="L203"/>
  <c r="O202"/>
  <c r="P202" s="1"/>
  <c r="K202"/>
  <c r="K199"/>
  <c r="G199" s="1"/>
  <c r="W199" s="1"/>
  <c r="O196"/>
  <c r="P196" s="1"/>
  <c r="L196"/>
  <c r="O195"/>
  <c r="G195" s="1"/>
  <c r="W195" s="1"/>
  <c r="L195"/>
  <c r="O193"/>
  <c r="P193" s="1"/>
  <c r="L193"/>
  <c r="L190"/>
  <c r="G183"/>
  <c r="W183" s="1"/>
  <c r="F183"/>
  <c r="E183"/>
  <c r="P224"/>
  <c r="L224"/>
  <c r="G224"/>
  <c r="G168"/>
  <c r="W168" s="1"/>
  <c r="G167"/>
  <c r="W167" s="1"/>
  <c r="G181"/>
  <c r="W181" s="1"/>
  <c r="G180"/>
  <c r="W180" s="1"/>
  <c r="G179"/>
  <c r="W179" s="1"/>
  <c r="G178"/>
  <c r="W178" s="1"/>
  <c r="G177"/>
  <c r="W177" s="1"/>
  <c r="G163"/>
  <c r="W163" s="1"/>
  <c r="G176"/>
  <c r="W176" s="1"/>
  <c r="G172"/>
  <c r="W172" s="1"/>
  <c r="G164"/>
  <c r="W164" s="1"/>
  <c r="G175"/>
  <c r="W175" s="1"/>
  <c r="F175"/>
  <c r="G174"/>
  <c r="W174" s="1"/>
  <c r="F174"/>
  <c r="G173"/>
  <c r="W173" s="1"/>
  <c r="G166"/>
  <c r="W166" s="1"/>
  <c r="G171"/>
  <c r="W171" s="1"/>
  <c r="G170"/>
  <c r="W170" s="1"/>
  <c r="F170"/>
  <c r="G169"/>
  <c r="W169" s="1"/>
  <c r="G165"/>
  <c r="W165" s="1"/>
  <c r="G162"/>
  <c r="W162" s="1"/>
  <c r="G161"/>
  <c r="W161" s="1"/>
  <c r="G160"/>
  <c r="W160" s="1"/>
  <c r="G159"/>
  <c r="W159" s="1"/>
  <c r="G158"/>
  <c r="W158" s="1"/>
  <c r="G156"/>
  <c r="G150"/>
  <c r="G146"/>
  <c r="G143"/>
  <c r="G142"/>
  <c r="G137"/>
  <c r="G136"/>
  <c r="G152"/>
  <c r="G132"/>
  <c r="G126"/>
  <c r="G117"/>
  <c r="G120"/>
  <c r="G155"/>
  <c r="G154"/>
  <c r="G153"/>
  <c r="G149"/>
  <c r="G148"/>
  <c r="G147"/>
  <c r="G145"/>
  <c r="G144"/>
  <c r="G141"/>
  <c r="G140"/>
  <c r="G139"/>
  <c r="G138"/>
  <c r="G135"/>
  <c r="G134"/>
  <c r="G151"/>
  <c r="G123"/>
  <c r="G122"/>
  <c r="G133"/>
  <c r="G131"/>
  <c r="G130"/>
  <c r="G129"/>
  <c r="G128"/>
  <c r="G127"/>
  <c r="G157"/>
  <c r="G125"/>
  <c r="G124"/>
  <c r="G121"/>
  <c r="G118"/>
  <c r="G116"/>
  <c r="G119"/>
  <c r="G115"/>
  <c r="G114"/>
  <c r="H93"/>
  <c r="I93" s="1"/>
  <c r="K95"/>
  <c r="L95" s="1"/>
  <c r="H95"/>
  <c r="I95" s="1"/>
  <c r="K97"/>
  <c r="L97" s="1"/>
  <c r="H97"/>
  <c r="I97" s="1"/>
  <c r="K101"/>
  <c r="K112" s="1"/>
  <c r="H101"/>
  <c r="I101" s="1"/>
  <c r="I103"/>
  <c r="G103"/>
  <c r="W103" s="1"/>
  <c r="H91"/>
  <c r="I91" s="1"/>
  <c r="I90"/>
  <c r="G90"/>
  <c r="W90" s="1"/>
  <c r="N100"/>
  <c r="N112" s="1"/>
  <c r="I100"/>
  <c r="G100"/>
  <c r="W100" s="1"/>
  <c r="I109"/>
  <c r="G109"/>
  <c r="W109" s="1"/>
  <c r="I108"/>
  <c r="G108"/>
  <c r="W108" s="1"/>
  <c r="I107"/>
  <c r="G107"/>
  <c r="W107" s="1"/>
  <c r="I106"/>
  <c r="G106"/>
  <c r="W106" s="1"/>
  <c r="I105"/>
  <c r="G105"/>
  <c r="W105" s="1"/>
  <c r="I102"/>
  <c r="G102"/>
  <c r="W102" s="1"/>
  <c r="I99"/>
  <c r="G99"/>
  <c r="W99" s="1"/>
  <c r="I94"/>
  <c r="G94"/>
  <c r="W94" s="1"/>
  <c r="W96"/>
  <c r="H96"/>
  <c r="H112" s="1"/>
  <c r="W98"/>
  <c r="I98"/>
  <c r="I112" s="1"/>
  <c r="G98"/>
  <c r="L92"/>
  <c r="G92"/>
  <c r="G104"/>
  <c r="G89"/>
  <c r="W89" s="1"/>
  <c r="G88"/>
  <c r="W88" s="1"/>
  <c r="W111" s="1"/>
  <c r="G87"/>
  <c r="V87" s="1"/>
  <c r="G86"/>
  <c r="G85"/>
  <c r="G84"/>
  <c r="G111" s="1"/>
  <c r="V82"/>
  <c r="U82"/>
  <c r="S82"/>
  <c r="Q82"/>
  <c r="M82"/>
  <c r="J82"/>
  <c r="H82"/>
  <c r="V81"/>
  <c r="U81"/>
  <c r="S81"/>
  <c r="Q81"/>
  <c r="O81"/>
  <c r="M81"/>
  <c r="K81"/>
  <c r="J81"/>
  <c r="H81"/>
  <c r="F81"/>
  <c r="I77"/>
  <c r="G77"/>
  <c r="W77" s="1"/>
  <c r="L75"/>
  <c r="G75"/>
  <c r="W75" s="1"/>
  <c r="P74"/>
  <c r="L74"/>
  <c r="G74"/>
  <c r="W74" s="1"/>
  <c r="L73"/>
  <c r="G73"/>
  <c r="W73" s="1"/>
  <c r="F67"/>
  <c r="L66"/>
  <c r="I66"/>
  <c r="G66"/>
  <c r="W66" s="1"/>
  <c r="L79"/>
  <c r="I79"/>
  <c r="G79"/>
  <c r="W79" s="1"/>
  <c r="P78"/>
  <c r="L78"/>
  <c r="I78"/>
  <c r="G78"/>
  <c r="W78" s="1"/>
  <c r="P72"/>
  <c r="L72"/>
  <c r="I72"/>
  <c r="G72"/>
  <c r="W72" s="1"/>
  <c r="E72"/>
  <c r="I68"/>
  <c r="G68"/>
  <c r="W68" s="1"/>
  <c r="I70"/>
  <c r="G70"/>
  <c r="W70" s="1"/>
  <c r="R71"/>
  <c r="P71"/>
  <c r="L71"/>
  <c r="I71"/>
  <c r="G71"/>
  <c r="W71" s="1"/>
  <c r="P69"/>
  <c r="L69"/>
  <c r="I69"/>
  <c r="G69"/>
  <c r="W69" s="1"/>
  <c r="I76"/>
  <c r="G76"/>
  <c r="W76" s="1"/>
  <c r="G65"/>
  <c r="W65" s="1"/>
  <c r="G64"/>
  <c r="W64" s="1"/>
  <c r="G63"/>
  <c r="W63" s="1"/>
  <c r="G62"/>
  <c r="W62" s="1"/>
  <c r="G61"/>
  <c r="W61" s="1"/>
  <c r="G60"/>
  <c r="G59"/>
  <c r="W59" s="1"/>
  <c r="V57"/>
  <c r="U57"/>
  <c r="S57"/>
  <c r="Q57"/>
  <c r="O57"/>
  <c r="M57"/>
  <c r="K57"/>
  <c r="J57"/>
  <c r="H57"/>
  <c r="F57"/>
  <c r="W56"/>
  <c r="U56"/>
  <c r="S56"/>
  <c r="Q56"/>
  <c r="O56"/>
  <c r="M56"/>
  <c r="J56"/>
  <c r="H56"/>
  <c r="F56"/>
  <c r="I51"/>
  <c r="G51"/>
  <c r="W51" s="1"/>
  <c r="P48"/>
  <c r="G48"/>
  <c r="W48" s="1"/>
  <c r="P49"/>
  <c r="L49"/>
  <c r="G49"/>
  <c r="W49" s="1"/>
  <c r="P50"/>
  <c r="L50"/>
  <c r="G50"/>
  <c r="W50" s="1"/>
  <c r="P53"/>
  <c r="L53"/>
  <c r="G53"/>
  <c r="W53" s="1"/>
  <c r="P54"/>
  <c r="L54"/>
  <c r="G54"/>
  <c r="W54" s="1"/>
  <c r="P52"/>
  <c r="L52"/>
  <c r="I52"/>
  <c r="G52"/>
  <c r="W52" s="1"/>
  <c r="I47"/>
  <c r="G47"/>
  <c r="P46"/>
  <c r="L46"/>
  <c r="G46"/>
  <c r="G45"/>
  <c r="K44"/>
  <c r="K56" s="1"/>
  <c r="G43"/>
  <c r="G42"/>
  <c r="T42" s="1"/>
  <c r="T56" s="1"/>
  <c r="V40"/>
  <c r="U40"/>
  <c r="S40"/>
  <c r="M40"/>
  <c r="J40"/>
  <c r="H40"/>
  <c r="F40"/>
  <c r="V39"/>
  <c r="U39"/>
  <c r="S39"/>
  <c r="S16" s="1"/>
  <c r="Q39"/>
  <c r="Q16" s="1"/>
  <c r="O39"/>
  <c r="O16" s="1"/>
  <c r="M39"/>
  <c r="M16" s="1"/>
  <c r="K39"/>
  <c r="J39"/>
  <c r="J16" s="1"/>
  <c r="H39"/>
  <c r="H16" s="1"/>
  <c r="F39"/>
  <c r="L37"/>
  <c r="I37"/>
  <c r="G37"/>
  <c r="W37" s="1"/>
  <c r="L36"/>
  <c r="I36"/>
  <c r="G36"/>
  <c r="W36" s="1"/>
  <c r="K35"/>
  <c r="L35" s="1"/>
  <c r="I35"/>
  <c r="K32"/>
  <c r="L32" s="1"/>
  <c r="I32"/>
  <c r="K30"/>
  <c r="L30" s="1"/>
  <c r="I30"/>
  <c r="K33"/>
  <c r="L33" s="1"/>
  <c r="I33"/>
  <c r="L34"/>
  <c r="I34"/>
  <c r="G34"/>
  <c r="W34" s="1"/>
  <c r="K31"/>
  <c r="L31" s="1"/>
  <c r="I31"/>
  <c r="L29"/>
  <c r="I29"/>
  <c r="G29"/>
  <c r="W29" s="1"/>
  <c r="Q28"/>
  <c r="Q40" s="1"/>
  <c r="O28"/>
  <c r="P28" s="1"/>
  <c r="K28"/>
  <c r="L28" s="1"/>
  <c r="I28"/>
  <c r="I27"/>
  <c r="G27"/>
  <c r="W27" s="1"/>
  <c r="L26"/>
  <c r="I26"/>
  <c r="G26"/>
  <c r="W26" s="1"/>
  <c r="L25"/>
  <c r="I25"/>
  <c r="G25"/>
  <c r="W25" s="1"/>
  <c r="R24"/>
  <c r="L24"/>
  <c r="I24"/>
  <c r="G24"/>
  <c r="W24" s="1"/>
  <c r="L23"/>
  <c r="I23"/>
  <c r="G23"/>
  <c r="W23" s="1"/>
  <c r="I22"/>
  <c r="G22"/>
  <c r="G21"/>
  <c r="W21" s="1"/>
  <c r="G20"/>
  <c r="W20" s="1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G19"/>
  <c r="U16" l="1"/>
  <c r="W104"/>
  <c r="J17"/>
  <c r="U17"/>
  <c r="S17"/>
  <c r="F645"/>
  <c r="J644"/>
  <c r="Q644"/>
  <c r="Q645"/>
  <c r="H644"/>
  <c r="O644"/>
  <c r="V644"/>
  <c r="M645"/>
  <c r="V645"/>
  <c r="F644"/>
  <c r="M644"/>
  <c r="U644"/>
  <c r="K645"/>
  <c r="U645"/>
  <c r="K644"/>
  <c r="S644"/>
  <c r="J645"/>
  <c r="S645"/>
  <c r="W250"/>
  <c r="W188"/>
  <c r="W192"/>
  <c r="W189"/>
  <c r="W244"/>
  <c r="T86"/>
  <c r="L328"/>
  <c r="V397"/>
  <c r="H398"/>
  <c r="H401" s="1"/>
  <c r="F514"/>
  <c r="H605"/>
  <c r="G659"/>
  <c r="W659" s="1"/>
  <c r="O605"/>
  <c r="U605"/>
  <c r="L602"/>
  <c r="L605" s="1"/>
  <c r="G227"/>
  <c r="W227" s="1"/>
  <c r="O642"/>
  <c r="O645" s="1"/>
  <c r="I246"/>
  <c r="G639"/>
  <c r="W639" s="1"/>
  <c r="G594"/>
  <c r="G604" s="1"/>
  <c r="Q605"/>
  <c r="V605"/>
  <c r="R183"/>
  <c r="V568"/>
  <c r="M581"/>
  <c r="M584" s="1"/>
  <c r="G193"/>
  <c r="W193" s="1"/>
  <c r="L199"/>
  <c r="R231"/>
  <c r="K514"/>
  <c r="O666"/>
  <c r="O669" s="1"/>
  <c r="W571"/>
  <c r="W575" s="1"/>
  <c r="G575"/>
  <c r="G212"/>
  <c r="W212" s="1"/>
  <c r="H542"/>
  <c r="F605"/>
  <c r="M605"/>
  <c r="I602"/>
  <c r="I605" s="1"/>
  <c r="F291"/>
  <c r="F16" s="1"/>
  <c r="L278"/>
  <c r="G265"/>
  <c r="V346"/>
  <c r="G389"/>
  <c r="F401"/>
  <c r="G449"/>
  <c r="W449" s="1"/>
  <c r="P542"/>
  <c r="P584" s="1"/>
  <c r="S605"/>
  <c r="G39"/>
  <c r="G262"/>
  <c r="W262" s="1"/>
  <c r="G284"/>
  <c r="W284" s="1"/>
  <c r="G198"/>
  <c r="W198" s="1"/>
  <c r="G439"/>
  <c r="W439" s="1"/>
  <c r="G511"/>
  <c r="G619"/>
  <c r="G44"/>
  <c r="V44" s="1"/>
  <c r="L227"/>
  <c r="L221"/>
  <c r="I449"/>
  <c r="L458"/>
  <c r="G488"/>
  <c r="W488" s="1"/>
  <c r="L501"/>
  <c r="G509"/>
  <c r="W509" s="1"/>
  <c r="G507"/>
  <c r="W507" s="1"/>
  <c r="J514"/>
  <c r="I659"/>
  <c r="L230"/>
  <c r="I319"/>
  <c r="I328" s="1"/>
  <c r="G321"/>
  <c r="W321" s="1"/>
  <c r="L500"/>
  <c r="H514"/>
  <c r="G527"/>
  <c r="G532"/>
  <c r="W532" s="1"/>
  <c r="G535"/>
  <c r="W535" s="1"/>
  <c r="G530"/>
  <c r="W530" s="1"/>
  <c r="R584"/>
  <c r="O583"/>
  <c r="G210"/>
  <c r="W210" s="1"/>
  <c r="I244"/>
  <c r="W453"/>
  <c r="G447"/>
  <c r="W447" s="1"/>
  <c r="G458"/>
  <c r="G251"/>
  <c r="W251" s="1"/>
  <c r="G184"/>
  <c r="W184" s="1"/>
  <c r="W307"/>
  <c r="G318"/>
  <c r="I397"/>
  <c r="R446"/>
  <c r="R454" s="1"/>
  <c r="G436"/>
  <c r="W436" s="1"/>
  <c r="G438"/>
  <c r="W438" s="1"/>
  <c r="N440"/>
  <c r="N454" s="1"/>
  <c r="N17" s="1"/>
  <c r="P457"/>
  <c r="L502"/>
  <c r="K574"/>
  <c r="K583" s="1"/>
  <c r="J605"/>
  <c r="G634"/>
  <c r="W634" s="1"/>
  <c r="R662"/>
  <c r="L233"/>
  <c r="G233"/>
  <c r="W233" s="1"/>
  <c r="A59"/>
  <c r="A60" s="1"/>
  <c r="A61" s="1"/>
  <c r="A62" s="1"/>
  <c r="A63" s="1"/>
  <c r="A64" s="1"/>
  <c r="A65" s="1"/>
  <c r="G57"/>
  <c r="G81"/>
  <c r="L231"/>
  <c r="G283"/>
  <c r="W283" s="1"/>
  <c r="G232"/>
  <c r="W232" s="1"/>
  <c r="G261"/>
  <c r="W261" s="1"/>
  <c r="W395"/>
  <c r="W463"/>
  <c r="W466" s="1"/>
  <c r="O512"/>
  <c r="G489"/>
  <c r="W489" s="1"/>
  <c r="L542"/>
  <c r="L584" s="1"/>
  <c r="I532"/>
  <c r="H555"/>
  <c r="G574"/>
  <c r="S583"/>
  <c r="H581"/>
  <c r="S584"/>
  <c r="E605"/>
  <c r="K605"/>
  <c r="G602"/>
  <c r="R602"/>
  <c r="R605" s="1"/>
  <c r="G633"/>
  <c r="W633" s="1"/>
  <c r="V657"/>
  <c r="V665" s="1"/>
  <c r="V668" s="1"/>
  <c r="G31"/>
  <c r="W31" s="1"/>
  <c r="V43"/>
  <c r="G93"/>
  <c r="W93" s="1"/>
  <c r="G290"/>
  <c r="G291"/>
  <c r="L183"/>
  <c r="G196"/>
  <c r="W196" s="1"/>
  <c r="L210"/>
  <c r="I247"/>
  <c r="G288"/>
  <c r="W288" s="1"/>
  <c r="G275"/>
  <c r="W275" s="1"/>
  <c r="G191"/>
  <c r="G289"/>
  <c r="W289" s="1"/>
  <c r="G308"/>
  <c r="I301"/>
  <c r="V341"/>
  <c r="I366"/>
  <c r="G452"/>
  <c r="G453"/>
  <c r="G440"/>
  <c r="W440" s="1"/>
  <c r="O461"/>
  <c r="U515"/>
  <c r="W479"/>
  <c r="W511" s="1"/>
  <c r="K512"/>
  <c r="K515" s="1"/>
  <c r="I491"/>
  <c r="I496"/>
  <c r="I497"/>
  <c r="I498"/>
  <c r="I504"/>
  <c r="E514"/>
  <c r="E515"/>
  <c r="Q515"/>
  <c r="V515"/>
  <c r="I549"/>
  <c r="G565"/>
  <c r="J583"/>
  <c r="Q583"/>
  <c r="G577"/>
  <c r="W577" s="1"/>
  <c r="N577"/>
  <c r="F584"/>
  <c r="Q584"/>
  <c r="W587"/>
  <c r="W594" s="1"/>
  <c r="W604" s="1"/>
  <c r="G595"/>
  <c r="P602"/>
  <c r="P605" s="1"/>
  <c r="W608"/>
  <c r="W619" s="1"/>
  <c r="I661"/>
  <c r="F452"/>
  <c r="F15" s="1"/>
  <c r="O40"/>
  <c r="L454"/>
  <c r="M515"/>
  <c r="N584"/>
  <c r="H583"/>
  <c r="J584"/>
  <c r="O584"/>
  <c r="U584"/>
  <c r="G641"/>
  <c r="G644" s="1"/>
  <c r="P635"/>
  <c r="G96"/>
  <c r="G91"/>
  <c r="W91" s="1"/>
  <c r="O292"/>
  <c r="G202"/>
  <c r="W202" s="1"/>
  <c r="H292"/>
  <c r="G366"/>
  <c r="W366" s="1"/>
  <c r="W383" s="1"/>
  <c r="J515"/>
  <c r="W566"/>
  <c r="F583"/>
  <c r="M583"/>
  <c r="U583"/>
  <c r="K584"/>
  <c r="W595"/>
  <c r="L620"/>
  <c r="L645" s="1"/>
  <c r="G664"/>
  <c r="G667" s="1"/>
  <c r="H666"/>
  <c r="H669" s="1"/>
  <c r="W57"/>
  <c r="W291"/>
  <c r="K292"/>
  <c r="G474"/>
  <c r="W468"/>
  <c r="W474" s="1"/>
  <c r="W19"/>
  <c r="W39" s="1"/>
  <c r="W22"/>
  <c r="G33"/>
  <c r="W33" s="1"/>
  <c r="G30"/>
  <c r="W30" s="1"/>
  <c r="G32"/>
  <c r="W32" s="1"/>
  <c r="G35"/>
  <c r="W35" s="1"/>
  <c r="K40"/>
  <c r="V85"/>
  <c r="W92"/>
  <c r="G95"/>
  <c r="W95" s="1"/>
  <c r="G190"/>
  <c r="W190" s="1"/>
  <c r="P190"/>
  <c r="P195"/>
  <c r="L202"/>
  <c r="P203"/>
  <c r="L212"/>
  <c r="P214"/>
  <c r="G221"/>
  <c r="W221" s="1"/>
  <c r="G217"/>
  <c r="W217" s="1"/>
  <c r="I258"/>
  <c r="L259"/>
  <c r="G278"/>
  <c r="W278" s="1"/>
  <c r="L285"/>
  <c r="G286"/>
  <c r="W286" s="1"/>
  <c r="G186"/>
  <c r="G201"/>
  <c r="W201" s="1"/>
  <c r="G225"/>
  <c r="W225" s="1"/>
  <c r="G234"/>
  <c r="W234" s="1"/>
  <c r="G237"/>
  <c r="W237" s="1"/>
  <c r="G252"/>
  <c r="W252" s="1"/>
  <c r="G269"/>
  <c r="W269" s="1"/>
  <c r="F292"/>
  <c r="Q292"/>
  <c r="W299"/>
  <c r="W308" s="1"/>
  <c r="P301"/>
  <c r="G450"/>
  <c r="W450" s="1"/>
  <c r="F515"/>
  <c r="S515"/>
  <c r="I437"/>
  <c r="G437"/>
  <c r="W437" s="1"/>
  <c r="G475"/>
  <c r="W472"/>
  <c r="W475" s="1"/>
  <c r="G28"/>
  <c r="W28" s="1"/>
  <c r="K67"/>
  <c r="G97"/>
  <c r="W97" s="1"/>
  <c r="G279"/>
  <c r="W279" s="1"/>
  <c r="G241"/>
  <c r="G266"/>
  <c r="G260"/>
  <c r="G307"/>
  <c r="L301"/>
  <c r="V342"/>
  <c r="V452"/>
  <c r="V15" s="1"/>
  <c r="K454"/>
  <c r="G461"/>
  <c r="G620"/>
  <c r="W641"/>
  <c r="W644" s="1"/>
  <c r="I446"/>
  <c r="G446"/>
  <c r="W446" s="1"/>
  <c r="I442"/>
  <c r="G442"/>
  <c r="W442" s="1"/>
  <c r="O454"/>
  <c r="P448"/>
  <c r="P454" s="1"/>
  <c r="P17" s="1"/>
  <c r="W60"/>
  <c r="W81" s="1"/>
  <c r="F82"/>
  <c r="V84"/>
  <c r="G101"/>
  <c r="W101" s="1"/>
  <c r="L101"/>
  <c r="L112" s="1"/>
  <c r="W224"/>
  <c r="O67"/>
  <c r="W382"/>
  <c r="G395"/>
  <c r="G448"/>
  <c r="W448" s="1"/>
  <c r="W385"/>
  <c r="W389" s="1"/>
  <c r="I444"/>
  <c r="I448"/>
  <c r="I440"/>
  <c r="I450"/>
  <c r="G490"/>
  <c r="G506"/>
  <c r="W506" s="1"/>
  <c r="G487"/>
  <c r="W487" s="1"/>
  <c r="I505"/>
  <c r="G492"/>
  <c r="W492" s="1"/>
  <c r="W523"/>
  <c r="W527" s="1"/>
  <c r="W583" s="1"/>
  <c r="G528"/>
  <c r="I536"/>
  <c r="I531"/>
  <c r="G550"/>
  <c r="V550" s="1"/>
  <c r="V555" s="1"/>
  <c r="I552"/>
  <c r="G566"/>
  <c r="G578"/>
  <c r="W578" s="1"/>
  <c r="W597"/>
  <c r="W602" s="1"/>
  <c r="W611"/>
  <c r="W620" s="1"/>
  <c r="I612"/>
  <c r="I620" s="1"/>
  <c r="I645" s="1"/>
  <c r="G635"/>
  <c r="W635" s="1"/>
  <c r="H637"/>
  <c r="H642" s="1"/>
  <c r="I638"/>
  <c r="G663"/>
  <c r="W663" s="1"/>
  <c r="Q666"/>
  <c r="Q669" s="1"/>
  <c r="G382"/>
  <c r="H454"/>
  <c r="G503"/>
  <c r="W503" s="1"/>
  <c r="G495"/>
  <c r="W495" s="1"/>
  <c r="G499"/>
  <c r="W499" s="1"/>
  <c r="H512"/>
  <c r="H515" s="1"/>
  <c r="W518"/>
  <c r="W521" s="1"/>
  <c r="W544"/>
  <c r="W547" s="1"/>
  <c r="V569"/>
  <c r="H620"/>
  <c r="G636"/>
  <c r="W636" s="1"/>
  <c r="G658"/>
  <c r="P658"/>
  <c r="I660"/>
  <c r="G494"/>
  <c r="W494" s="1"/>
  <c r="G508"/>
  <c r="W508" s="1"/>
  <c r="G493"/>
  <c r="W493" s="1"/>
  <c r="I550"/>
  <c r="V557"/>
  <c r="V565" s="1"/>
  <c r="I578"/>
  <c r="P637"/>
  <c r="G383" l="1"/>
  <c r="F17"/>
  <c r="F678" s="1"/>
  <c r="F682" s="1"/>
  <c r="W16"/>
  <c r="G112"/>
  <c r="Q17"/>
  <c r="Q678" s="1"/>
  <c r="Q682" s="1"/>
  <c r="H17"/>
  <c r="H678" s="1"/>
  <c r="H682" s="1"/>
  <c r="L17"/>
  <c r="L678" s="1"/>
  <c r="L682" s="1"/>
  <c r="W112"/>
  <c r="T111"/>
  <c r="T16" s="1"/>
  <c r="T678" s="1"/>
  <c r="T682" s="1"/>
  <c r="R17"/>
  <c r="R678" s="1"/>
  <c r="R682" s="1"/>
  <c r="K16"/>
  <c r="G15"/>
  <c r="M17"/>
  <c r="M678" s="1"/>
  <c r="M682" s="1"/>
  <c r="H645"/>
  <c r="W191"/>
  <c r="W260"/>
  <c r="W265"/>
  <c r="W241"/>
  <c r="W266"/>
  <c r="H584"/>
  <c r="I398"/>
  <c r="V86"/>
  <c r="V111" s="1"/>
  <c r="W605"/>
  <c r="G605"/>
  <c r="G514"/>
  <c r="W318"/>
  <c r="W328" s="1"/>
  <c r="G328"/>
  <c r="E678"/>
  <c r="E682" s="1"/>
  <c r="V382"/>
  <c r="J678"/>
  <c r="J682" s="1"/>
  <c r="S678"/>
  <c r="S682" s="1"/>
  <c r="U678"/>
  <c r="U682" s="1"/>
  <c r="N678"/>
  <c r="N682" s="1"/>
  <c r="O515"/>
  <c r="G583"/>
  <c r="G398"/>
  <c r="G401" s="1"/>
  <c r="V398"/>
  <c r="V401" s="1"/>
  <c r="V17" s="1"/>
  <c r="G56"/>
  <c r="G16" s="1"/>
  <c r="W581"/>
  <c r="W542"/>
  <c r="G542"/>
  <c r="W514"/>
  <c r="W454"/>
  <c r="I542"/>
  <c r="I584" s="1"/>
  <c r="A66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I454"/>
  <c r="I17" s="1"/>
  <c r="V584"/>
  <c r="P678"/>
  <c r="P682" s="1"/>
  <c r="G666"/>
  <c r="G669" s="1"/>
  <c r="W658"/>
  <c r="W666" s="1"/>
  <c r="W669" s="1"/>
  <c r="K82"/>
  <c r="K17" s="1"/>
  <c r="G67"/>
  <c r="L67"/>
  <c r="G581"/>
  <c r="G555"/>
  <c r="G292"/>
  <c r="V574"/>
  <c r="V583" s="1"/>
  <c r="I637"/>
  <c r="G637"/>
  <c r="W637" s="1"/>
  <c r="W642" s="1"/>
  <c r="W645" s="1"/>
  <c r="G40"/>
  <c r="G512"/>
  <c r="G515" s="1"/>
  <c r="W490"/>
  <c r="W512" s="1"/>
  <c r="W515" s="1"/>
  <c r="P67"/>
  <c r="O82"/>
  <c r="G454"/>
  <c r="V42"/>
  <c r="V56" s="1"/>
  <c r="W40"/>
  <c r="V16" l="1"/>
  <c r="V678" s="1"/>
  <c r="V682" s="1"/>
  <c r="W292"/>
  <c r="O17"/>
  <c r="O678" s="1"/>
  <c r="O682" s="1"/>
  <c r="A184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10" s="1"/>
  <c r="A311" s="1"/>
  <c r="A312" s="1"/>
  <c r="A313" s="1"/>
  <c r="A314" s="1"/>
  <c r="I678"/>
  <c r="I682" s="1"/>
  <c r="K678"/>
  <c r="K682" s="1"/>
  <c r="W584"/>
  <c r="G584"/>
  <c r="W67"/>
  <c r="W82" s="1"/>
  <c r="G82"/>
  <c r="G642"/>
  <c r="G645" s="1"/>
  <c r="G17" l="1"/>
  <c r="G678" s="1"/>
  <c r="G682" s="1"/>
  <c r="W17"/>
  <c r="W678" s="1"/>
  <c r="W682" s="1"/>
  <c r="A315"/>
  <c r="A316" s="1"/>
  <c r="A317" s="1"/>
  <c r="A318" s="1"/>
  <c r="A319" s="1"/>
  <c r="A320" s="1"/>
  <c r="A321" s="1"/>
  <c r="A322" s="1"/>
  <c r="A323" s="1"/>
  <c r="A324" s="1"/>
  <c r="A325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l="1"/>
  <c r="A353" s="1"/>
  <c r="A354" s="1"/>
  <c r="A355" s="1"/>
  <c r="A356" s="1"/>
  <c r="A357" s="1"/>
  <c r="A358" s="1"/>
  <c r="A359" s="1"/>
  <c r="A360" l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5" s="1"/>
  <c r="A386" s="1"/>
  <c r="A391" s="1"/>
  <c r="A392" s="1"/>
  <c r="A397" s="1"/>
  <c r="A398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7" s="1"/>
  <c r="A458" s="1"/>
  <c r="A463" s="1"/>
  <c r="A468" s="1"/>
  <c r="A469" s="1"/>
  <c r="A470" s="1"/>
  <c r="A471" s="1"/>
  <c r="A472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l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8" s="1"/>
  <c r="A523" s="1"/>
  <c r="A524" s="1"/>
  <c r="A525" s="1"/>
  <c r="A530" s="1"/>
  <c r="A531" s="1"/>
  <c r="A532" s="1"/>
  <c r="A533" s="1"/>
  <c r="A534" s="1"/>
  <c r="A535" s="1"/>
  <c r="A536" s="1"/>
  <c r="A537" s="1"/>
  <c r="A538" s="1"/>
  <c r="A539" s="1"/>
  <c r="A544" s="1"/>
  <c r="A549" s="1"/>
  <c r="A550" s="1"/>
  <c r="A551" s="1"/>
  <c r="A552" s="1"/>
  <c r="A557" s="1"/>
  <c r="A558" s="1"/>
  <c r="A559" s="1"/>
  <c r="A560" s="1"/>
  <c r="A561" s="1"/>
  <c r="A562" s="1"/>
  <c r="A563" s="1"/>
  <c r="A568" s="1"/>
  <c r="A569" s="1"/>
  <c r="A570" s="1"/>
  <c r="A571" s="1"/>
  <c r="A572" s="1"/>
  <c r="A577" s="1"/>
  <c r="A578" s="1"/>
  <c r="A587" s="1"/>
  <c r="A588" s="1"/>
  <c r="A589" s="1"/>
  <c r="A590" s="1"/>
  <c r="A591" s="1"/>
  <c r="A592" s="1"/>
  <c r="A597" s="1"/>
  <c r="A598" s="1"/>
  <c r="A599" s="1"/>
  <c r="A608" s="1"/>
  <c r="A609" s="1"/>
  <c r="A610" s="1"/>
  <c r="A611" s="1"/>
  <c r="A612" s="1"/>
  <c r="A613" s="1"/>
  <c r="A614" s="1"/>
  <c r="A615" s="1"/>
  <c r="A616" s="1"/>
  <c r="A617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8" l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</calcChain>
</file>

<file path=xl/comments1.xml><?xml version="1.0" encoding="utf-8"?>
<comments xmlns="http://schemas.openxmlformats.org/spreadsheetml/2006/main">
  <authors>
    <author>nijelskaya</author>
  </authors>
  <commentList>
    <comment ref="B185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</t>
        </r>
      </text>
    </comment>
    <comment ref="B186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выполнены МКУ УКС в рамках муниц программы за чет средств местного бюджета
</t>
        </r>
      </text>
    </comment>
    <comment ref="B234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</t>
        </r>
      </text>
    </comment>
    <comment ref="B237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
</t>
        </r>
      </text>
    </comment>
    <comment ref="B268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добавлен фасад по Пост-ю адм. г. Мурманска от 25.04.2016 № 1085</t>
        </r>
      </text>
    </comment>
    <comment ref="O26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nijelskaya: </t>
        </r>
        <r>
          <rPr>
            <b/>
            <sz val="9"/>
            <color indexed="81"/>
            <rFont val="Tahoma"/>
            <family val="2"/>
            <charset val="204"/>
          </rPr>
          <t>Пост-е адм. г. Мурманска от 25.04.2016 № 1085</t>
        </r>
      </text>
    </comment>
    <comment ref="B276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
</t>
        </r>
      </text>
    </comment>
    <comment ref="K572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ОМСУ настаивает на плоской кр., по нашей хар-ке кр. скатная, в расчет беру их данные.</t>
        </r>
      </text>
    </comment>
    <comment ref="F637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29.02.2016 №85-ПП была S - 417,6 м2; 01.06.2016 №262-ПП S стала 383,5 м2; сейчас сделали такой же как и в 85-ПП</t>
        </r>
      </text>
    </comment>
  </commentList>
</comments>
</file>

<file path=xl/sharedStrings.xml><?xml version="1.0" encoding="utf-8"?>
<sst xmlns="http://schemas.openxmlformats.org/spreadsheetml/2006/main" count="1052" uniqueCount="651">
  <si>
    <t>№ п/п</t>
  </si>
  <si>
    <t>Адрес МКД</t>
  </si>
  <si>
    <t>Год ввода в эксплуатацию</t>
  </si>
  <si>
    <t>Общая площадь МКД, всего</t>
  </si>
  <si>
    <t>Всего: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</si>
  <si>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</si>
  <si>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</si>
  <si>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</si>
  <si>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</si>
  <si>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</si>
  <si>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</si>
  <si>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В том числе:</t>
  </si>
  <si>
    <t>За счет средств местного бюджета</t>
  </si>
  <si>
    <t>кв.м</t>
  </si>
  <si>
    <t>руб.</t>
  </si>
  <si>
    <t>1</t>
  </si>
  <si>
    <t>2</t>
  </si>
  <si>
    <t>3</t>
  </si>
  <si>
    <t>г. Кировск, пр. Ленина, д. 7</t>
  </si>
  <si>
    <t>1959</t>
  </si>
  <si>
    <t>1958</t>
  </si>
  <si>
    <t>1977</t>
  </si>
  <si>
    <t>г. Мурманск, ул. Привокзальная, д. 16</t>
  </si>
  <si>
    <t>г. Мурманск, ул. Пушкинская, д. 5</t>
  </si>
  <si>
    <t>1984</t>
  </si>
  <si>
    <t>1980</t>
  </si>
  <si>
    <t>За счет средств федерального бюджета</t>
  </si>
  <si>
    <t>г. Мончегорск, ул. Советская, д. 13</t>
  </si>
  <si>
    <t xml:space="preserve">г. Мончегорск, ул. Гагарина, д. 14а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</si>
  <si>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г. Кировск, пр. Ленина, д. 21а</t>
  </si>
  <si>
    <t>г. Полярный, ул. Красный Горн,  д. 17</t>
  </si>
  <si>
    <t>г. Полярный, ул. Красный Горн,  д. 9</t>
  </si>
  <si>
    <t>г. Полярный, ул. Героев Тумана,  д. 6</t>
  </si>
  <si>
    <t>г. Полярный, ул. Сивко,  д. 12</t>
  </si>
  <si>
    <t>г. Мурманск, пер. Охотничий, д. 23</t>
  </si>
  <si>
    <t>г. Мурманск, пер. Русанова, д. 5</t>
  </si>
  <si>
    <t>г. Мурманск, ул. Беринга, д. 14</t>
  </si>
  <si>
    <t>г. Мурманск, ул. Володарского, д. 3</t>
  </si>
  <si>
    <t>г. Мурманск, ул. Героев Рыбачьего, д. 29</t>
  </si>
  <si>
    <t>г. Мурманск, ул. Героев Рыбачьего, д. 41</t>
  </si>
  <si>
    <t>г. Мурманск, ул. Героев Рыбачьего, д. 42</t>
  </si>
  <si>
    <t>г. Мурманск, ул. Героев Рыбачьего, д. 48</t>
  </si>
  <si>
    <t>г. Мурманск, ул. Загородная, д. 7</t>
  </si>
  <si>
    <t>г. Мурманск, ул. Зои Космодемьянской, д. 32</t>
  </si>
  <si>
    <t>г. Мурманск, ул. Карла Либкнехта, д. 9</t>
  </si>
  <si>
    <t>г. Мурманск, ул. Карла Маркса, д. 16</t>
  </si>
  <si>
    <t>г. Мурманск, ул. Карла Маркса, д. 61</t>
  </si>
  <si>
    <t>г. Мурманск, ул. Новое Плато, д. 10</t>
  </si>
  <si>
    <t>г. Мурманск, ул. Новое Плато, д. 11</t>
  </si>
  <si>
    <t>г. Мурманск, ул. Новое Плато, д. 16</t>
  </si>
  <si>
    <t>г. Мурманск, ул. Октябрьская, д. 17</t>
  </si>
  <si>
    <t>г. Мурманск, ул. Папанина, д. 9</t>
  </si>
  <si>
    <t>г. Мурманск, ул. Папанина, д. 22</t>
  </si>
  <si>
    <t>г. Мурманск, ул. Скальная, д. 30</t>
  </si>
  <si>
    <t>1987</t>
  </si>
  <si>
    <t>г. Мурманск, ул. Сполохи, д. 8</t>
  </si>
  <si>
    <t>г. Мурманск, ул. Успенского, д. 4</t>
  </si>
  <si>
    <t>г. Североморск, ул.Колышкина, д. 7</t>
  </si>
  <si>
    <t>г. Североморск, ул.Колышкина, д. 9</t>
  </si>
  <si>
    <t>г. Североморск, ул. Комсомольская, д. 23</t>
  </si>
  <si>
    <t>1990</t>
  </si>
  <si>
    <t>г. Североморск, ул. Саши Ковалева, д. 6</t>
  </si>
  <si>
    <t>г. Североморск, ул. Комсомольская, д. 16</t>
  </si>
  <si>
    <t>г. Североморск, ул. Сафонова, д. 26</t>
  </si>
  <si>
    <t>г. Североморск, ул. Сафонова, д. 27</t>
  </si>
  <si>
    <t>г. Североморск, ул. Северная Застава, д. 4</t>
  </si>
  <si>
    <t>г. Североморск, ул. Северная Застава, д. 14</t>
  </si>
  <si>
    <t>г. Североморск, ул. Северная Застава, д. 26</t>
  </si>
  <si>
    <t>г.п. Умба, ул. Ключевая, д. 26а</t>
  </si>
  <si>
    <t> 1982</t>
  </si>
  <si>
    <t>г.п. Умба, ул. Совхозная, д. 17</t>
  </si>
  <si>
    <t>г.п. Умба, ул. Советская, д. 3</t>
  </si>
  <si>
    <t>г.п. Умба, ул. Рыбников, д. 3</t>
  </si>
  <si>
    <t>г.п. Умба, ул. Совхозная, д. 16</t>
  </si>
  <si>
    <t>г.п. Умба, ул. Приморская, д. 40</t>
  </si>
  <si>
    <t> 1962</t>
  </si>
  <si>
    <t>360,30 </t>
  </si>
  <si>
    <t>г.п. Умба, ул. Дзержинского, д. 54</t>
  </si>
  <si>
    <t>г.п. Умба, ул. Беломорская, д. 47</t>
  </si>
  <si>
    <t>г.п. Умба, ул. Зеленая, д. 27</t>
  </si>
  <si>
    <t>г.п. Умба, ул. Советская, д. 10</t>
  </si>
  <si>
    <t xml:space="preserve">г. Мончегорск, ул. Металлургов, д. 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</si>
  <si>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Мончегорск, ул. Металлургов, д. 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</si>
  <si>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</si>
  <si>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</si>
  <si>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Сивко, 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</si>
  <si>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Сивко, 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</si>
  <si>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Фисановича,  д.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</si>
  <si>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Героев Североморцев, 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</si>
  <si>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</si>
  <si>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</si>
  <si>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2а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</si>
  <si>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</si>
  <si>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</si>
  <si>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</si>
  <si>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</si>
  <si>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г. Мурманск, пр. Кольский, д. 101</t>
  </si>
  <si>
    <t>г. Мурманск, пр. Кольский, д. 105</t>
  </si>
  <si>
    <t>г. Мурманск, пр. Кольский, д. 204</t>
  </si>
  <si>
    <t>г. Мурманск, ул. Полярные Зори, д. 24</t>
  </si>
  <si>
    <t>г. Мурманск, ул. Полярные Зори, д. 31, кор.1</t>
  </si>
  <si>
    <t>г. Мурманск, ул. Полярные Зори, д. 31, кор.2</t>
  </si>
  <si>
    <t>г. Североморск, ул. Флотских Строителей, д. 5</t>
  </si>
  <si>
    <t>г. Североморск, ул. Флотских Строителей, д. 6</t>
  </si>
  <si>
    <t>пгт Североморск-3, ул. Школьная, д. 1</t>
  </si>
  <si>
    <t>пгт Североморск-3, ул. Школьная, д. 2</t>
  </si>
  <si>
    <t>пгт Североморск-3, ул. Школьная, д. 4</t>
  </si>
  <si>
    <t>г. Североморск, ул. Душенова, д. 11</t>
  </si>
  <si>
    <t>г. Североморск, ул. Авиаторов, д. 7</t>
  </si>
  <si>
    <t>г. Североморск, ул. Авиаторов, д. 9</t>
  </si>
  <si>
    <t>с.п. Пушной, ул. Ленинградская, д. 8</t>
  </si>
  <si>
    <t>Муниципальное образование сельское поселение Пушной Кольского района</t>
  </si>
  <si>
    <t>Муниципальное образование город Мончегорск с подведомственной территорией</t>
  </si>
  <si>
    <t>Муниципальное образование город Кировск с подведомственной территорией</t>
  </si>
  <si>
    <t>Муниципальное образование ЗАТО Александровск</t>
  </si>
  <si>
    <t>Муниципальное образование город Мурманск</t>
  </si>
  <si>
    <t>Муниципальное образование ЗАТО город Североморск</t>
  </si>
  <si>
    <t>Муниципальное образование городское поселение Умба Терского района</t>
  </si>
  <si>
    <t>г. Кировск, ул. Хибиногорская, д. 28</t>
  </si>
  <si>
    <t>За счет средств собственников помещений в МКД</t>
  </si>
  <si>
    <t>За счет средств областного бюджета</t>
  </si>
  <si>
    <t>г. Североморск, ул. Гвардейская, д. 15</t>
  </si>
  <si>
    <t>г. Североморск, ул. Гвардейская, д. 31б</t>
  </si>
  <si>
    <t>г. Североморск, ул. Гвардейская, д. 37</t>
  </si>
  <si>
    <t>г. Североморск, ул. Гвардейская, д. 49</t>
  </si>
  <si>
    <t>г. Североморск, ул. Авиаторов, д. 6</t>
  </si>
  <si>
    <t>г. Североморск, ул. Кирова, д. 11</t>
  </si>
  <si>
    <t>г. Мурманск, ул. Полярный Круг, д. 9</t>
  </si>
  <si>
    <t>г. Североморск, ул. Инженерная, д. 2</t>
  </si>
  <si>
    <t>Стоимость капитального ремонта**</t>
  </si>
  <si>
    <t>Разработка проектной документации</t>
  </si>
  <si>
    <t>Год начала работ</t>
  </si>
  <si>
    <t>Год завершения работ</t>
  </si>
  <si>
    <t>Муниципальное образование город Апатиты с подведомственной территорией</t>
  </si>
  <si>
    <t>г. Апатиты, пер. Московский, д. 1</t>
  </si>
  <si>
    <t>г. Апатиты, пер. Московский, д. 2</t>
  </si>
  <si>
    <t>г. Апатиты, ул. Бредова, д. 1</t>
  </si>
  <si>
    <t>г. Апатиты, ул. Бредова, д. 2</t>
  </si>
  <si>
    <t>г. Апатиты, ул. Бредова, д. 3</t>
  </si>
  <si>
    <t>г. Апатиты, ул. Бредова, д. 5</t>
  </si>
  <si>
    <t>г. Апатиты, ул. Бредова, д. 15</t>
  </si>
  <si>
    <t>г. Апатиты, ул. Бредова, д. 17</t>
  </si>
  <si>
    <t>г. Апатиты, ул. Бредова, д. 19</t>
  </si>
  <si>
    <t>г. Апатиты, ул. Кирова, д. 6</t>
  </si>
  <si>
    <t>г. Апатиты, ул. Космонавтов, д. 9</t>
  </si>
  <si>
    <t>г. Апатиты, ул. Ленина, д. 6</t>
  </si>
  <si>
    <t>г. Апатиты, ул. Космонавтов, д. 12</t>
  </si>
  <si>
    <t>г. Апатиты, ул. Ленина, д. 12</t>
  </si>
  <si>
    <t>г. Апатиты, ул. Ферсмана, д. 10</t>
  </si>
  <si>
    <t>г. Апатиты, ул. Ферсмана, д. 9</t>
  </si>
  <si>
    <t>г. Апатиты, ул. Фестивальная, д. 5</t>
  </si>
  <si>
    <t>г. Кировск, пр. Ленина, д. 17</t>
  </si>
  <si>
    <t>г. Кировск, ул. Кирова, д. 38</t>
  </si>
  <si>
    <t>г. Кировск, ул. Кирова, д. 34</t>
  </si>
  <si>
    <t>г. Кировск, пр. Ленина, д. 9</t>
  </si>
  <si>
    <t>г. Кировск, пр. Ленина, д. 5</t>
  </si>
  <si>
    <t>г. Мончегорск, пр. Металлургов, д. 11</t>
  </si>
  <si>
    <t>г. Мончегорск, пр. Кумужинская, д. 3</t>
  </si>
  <si>
    <t>г. Мончегорск, пр. Металлургов, д. 66</t>
  </si>
  <si>
    <t>г. Мончегорск, ул. Железнодорожная, д. 7/19</t>
  </si>
  <si>
    <t>г. Мончегорск, ул. Стахановская, д. 11</t>
  </si>
  <si>
    <t>г. Мончегорск, ул. Стахановская, д. 20</t>
  </si>
  <si>
    <t>г. Мончегорск, ул. Школьная, д. 2</t>
  </si>
  <si>
    <t>г. Мурманск, пер. Арктический, д. 12</t>
  </si>
  <si>
    <t>г. Мурманск, пер. Охотничий, д. 13</t>
  </si>
  <si>
    <t>г. Мурманск, пер. Охотничий, д. 19</t>
  </si>
  <si>
    <t>г. Мурманск, пр. Кольский, д. 114, корп. 1</t>
  </si>
  <si>
    <t>г. Мурманск, пр. Кольский, д. 157</t>
  </si>
  <si>
    <t>г. Мурманск, ул. Адмирала флота Лобова, д. 11</t>
  </si>
  <si>
    <t>г. Мурманск, ул. Бондарная, д. 1</t>
  </si>
  <si>
    <t>г. Мурманск, ул. Гвардейская, д. 9а</t>
  </si>
  <si>
    <t>г. Мурманск, ул. Зои Космодемьянской, д. 10</t>
  </si>
  <si>
    <t>г. Мурманск, ул. имени Аскольдовцев, д. 35</t>
  </si>
  <si>
    <t>г. Мурманск, ул. Инженерная, д. 7</t>
  </si>
  <si>
    <t>г. Мурманск, ул. Карла Маркса, д. 14</t>
  </si>
  <si>
    <t>г. Мурманск, ул. Карла Маркса, д. 35</t>
  </si>
  <si>
    <t>г. Мурманск, ул. Лесная, д. 8</t>
  </si>
  <si>
    <t>г. Мурманск, ул. Лесная, д. 10</t>
  </si>
  <si>
    <t>г. Мурманск, ул. Лесная, д. 12</t>
  </si>
  <si>
    <t>г. Мурманск, ул. Лесная, д. 17</t>
  </si>
  <si>
    <t>г. Мурманск, ул. Нахимова, д. 24</t>
  </si>
  <si>
    <t>г. Мурманск, ул. Октябрьская, д. 12</t>
  </si>
  <si>
    <t>г. Мурманск, ул. Пригородная, д. 45</t>
  </si>
  <si>
    <t>г. Мурманск, ул. Сафонова, д. 32/19</t>
  </si>
  <si>
    <t>г. Мурманск, ул. Свердлова, д. 2, корп. 3</t>
  </si>
  <si>
    <t>г. Мурманск, ул. Фадеев Ручей, д. 21</t>
  </si>
  <si>
    <t>г. Мурманск, ул. Челюскинцев, д. 9</t>
  </si>
  <si>
    <t>г. Мурманск, ул. Челюскинцев, д. 11</t>
  </si>
  <si>
    <t>г. Мурманск, ул. Челюскинцев, д. 25</t>
  </si>
  <si>
    <t>г. Мурманск, ул. Челюскинцев, д. 35</t>
  </si>
  <si>
    <t>г. Мурманск, ул. Челюскинцев, д. 37</t>
  </si>
  <si>
    <t>г. Мурманск, ул. Софьи Перовской, д. 6</t>
  </si>
  <si>
    <t>г. Мурманск, ул. имени Героя Советского Союза Сивко И.М., д. 9</t>
  </si>
  <si>
    <t>г. Мурманск, ул. Героев Рыбачьего, д. 44</t>
  </si>
  <si>
    <t>г. Мурманск, ул. Героев Рыбачьего, д. 46</t>
  </si>
  <si>
    <t>Муниципальное образование город Оленегорск с подведомственной территорией</t>
  </si>
  <si>
    <t>г. Оленегорск, ул. Бардина, д. 12</t>
  </si>
  <si>
    <t>г. Оленегорск, ул. Бардина, д. 14</t>
  </si>
  <si>
    <t>г. Оленегорск, ул. Бардина, д. 16</t>
  </si>
  <si>
    <t>г. Оленегорск, ул. Бардина, д. 18</t>
  </si>
  <si>
    <t>г. Оленегорск, ул. Бардина, д. 22</t>
  </si>
  <si>
    <t>г. Оленегорск, ул. Бардина, д. 24</t>
  </si>
  <si>
    <t>г. Оленегорск, ул. Ветеранов, д. 14</t>
  </si>
  <si>
    <t>г. Оленегорск, ул. Бардина, д. 28</t>
  </si>
  <si>
    <t>г. Оленегорск, ул. Бардина, д. 38</t>
  </si>
  <si>
    <t>г. Оленегорск, ул. Бардина, д. 44</t>
  </si>
  <si>
    <t>Итого по муниципальному образованию на 2015 год:</t>
  </si>
  <si>
    <t>Итого по муниципальному образованию на 2016 год:</t>
  </si>
  <si>
    <t>Итого по муниципальному образованию на 2014 год:</t>
  </si>
  <si>
    <t>Муниципальное образование город Полярные Зори с подведомственной территорией</t>
  </si>
  <si>
    <t>г. Полярные Зори, пр. Нивский, д. 7</t>
  </si>
  <si>
    <t>г. Полярные Зори, пр. Нивский, д. 8</t>
  </si>
  <si>
    <t>г. Полярный, ул. Видяева, д. 2</t>
  </si>
  <si>
    <t>г. Полярный, ул. Видяева, д. 11</t>
  </si>
  <si>
    <t>г. Полярный, ул. Лунина, д. 5</t>
  </si>
  <si>
    <t>1957</t>
  </si>
  <si>
    <t>г. Снежногорск, ул. В. Бирюкова, д. 13</t>
  </si>
  <si>
    <t>1976</t>
  </si>
  <si>
    <t>г. Снежногорск, ул. Победы, д. 3</t>
  </si>
  <si>
    <t>г. Снежногорск, ул. Флотская, д. 4</t>
  </si>
  <si>
    <t>г. Гаджиево, ул. Колышкина, д. 69</t>
  </si>
  <si>
    <t>г. Гаджиево, ул. Ленина, д. 63</t>
  </si>
  <si>
    <t>г. Североморск, ул. Восточная, д. 11</t>
  </si>
  <si>
    <t>1964</t>
  </si>
  <si>
    <t>г. Североморск, ул. Генерала Фулика, д. 8</t>
  </si>
  <si>
    <t>г. Североморск, ул. Сафонова, д. 6</t>
  </si>
  <si>
    <t>1939</t>
  </si>
  <si>
    <t>г. Североморск, ул. Сафонова, д. 7</t>
  </si>
  <si>
    <t>1940</t>
  </si>
  <si>
    <t>г. Североморск, ул. Сафонова, д. 8</t>
  </si>
  <si>
    <t>г. Североморск, ул. Сафонова, д. 9</t>
  </si>
  <si>
    <t>г. Североморск, ул. Сафонова, д. 10</t>
  </si>
  <si>
    <t>г. Североморск, ул. Сафонова, д. 11</t>
  </si>
  <si>
    <t>пгт Сафоново, ул. Преображенского, д. 5</t>
  </si>
  <si>
    <t>1938</t>
  </si>
  <si>
    <t>г. Североморск, ул. Гаджиева, д. 3</t>
  </si>
  <si>
    <t>г. Североморск, ул. Гаджиева, д. 5</t>
  </si>
  <si>
    <t>г. Североморск, ул. Морская, д. 10</t>
  </si>
  <si>
    <t>г. Североморск, ул.Фулика, д. 5</t>
  </si>
  <si>
    <t>г. Североморск, ул. Душенова, д. 8/8</t>
  </si>
  <si>
    <t>г. Североморск, ул. Северная Застава, д. 9</t>
  </si>
  <si>
    <t>г. Североморск, ул. Северная Застава, д. 38</t>
  </si>
  <si>
    <t>г. Североморск, ул. Гаджиева, д. 2</t>
  </si>
  <si>
    <t>пгт Сафоново, ул. Преображенского, д. 1</t>
  </si>
  <si>
    <t>Муниципальное образование ЗАТО поселок Видяево</t>
  </si>
  <si>
    <t>ЗАТО п. Видяево, ул. Заречная, д. 46</t>
  </si>
  <si>
    <t>ЗАТО п. Видяево, ул. Заречная, д. 50</t>
  </si>
  <si>
    <t>ЗАТО г. Заозерск, ул. Колышкина, д. 3</t>
  </si>
  <si>
    <t>ЗАТО г. Заозерск, ул. Строительная, д. 14</t>
  </si>
  <si>
    <t>Муниципальное образование ЗАТО город Заозерск</t>
  </si>
  <si>
    <t>г. Кировск, пр. Ленина, д. 9а</t>
  </si>
  <si>
    <t>1963</t>
  </si>
  <si>
    <t>1962</t>
  </si>
  <si>
    <t>Муниципальное образование ЗАТО город Островной</t>
  </si>
  <si>
    <t>Кандалакшский муниципальный район</t>
  </si>
  <si>
    <t>Муниципальное образование сельское поселение Алакуртти Кандалакшского района</t>
  </si>
  <si>
    <t>1982</t>
  </si>
  <si>
    <t>нп Зареченск, ул. Иовская, д. 38</t>
  </si>
  <si>
    <t>Муниципальное образование городское поселение Зеленоборский Кандалакшского района</t>
  </si>
  <si>
    <t>пгт Зеленоборский, ул. Магистральная, д. 21</t>
  </si>
  <si>
    <t>1950</t>
  </si>
  <si>
    <t>пгт Зеленоборский, ул. Магистральная, д. 28</t>
  </si>
  <si>
    <t>1960</t>
  </si>
  <si>
    <t>пгт Зеленоборский, ул. Озерная, д. 45</t>
  </si>
  <si>
    <t>пгт Зеленоборский, ул. Озерная, д. 47</t>
  </si>
  <si>
    <t>Муниципальное образование городское поселение Кандалакша Кандалакшского района</t>
  </si>
  <si>
    <t>г. Кандалакша, ул. Кировская аллея, д. 1/42</t>
  </si>
  <si>
    <t>г. Кандалакша, ул. Кировская аллея, д. 7</t>
  </si>
  <si>
    <t>г. Кандалакша, ул. Кировская аллея, д. 8</t>
  </si>
  <si>
    <t>1956</t>
  </si>
  <si>
    <t>г. Кандалакша, ул. Кировская аллея, д. 33</t>
  </si>
  <si>
    <t>1925</t>
  </si>
  <si>
    <t>1931</t>
  </si>
  <si>
    <t>1930</t>
  </si>
  <si>
    <t>г. Кандалакша, ул. Высокая, д. 3/35</t>
  </si>
  <si>
    <t>1937</t>
  </si>
  <si>
    <t>г. Кандалакша, ул. Кировская, д. 17</t>
  </si>
  <si>
    <t>1935</t>
  </si>
  <si>
    <t>г. Кандалакша, ул. Курасова, д. 11</t>
  </si>
  <si>
    <t>г. Кандалакша, ул. Первомайская, д. 22</t>
  </si>
  <si>
    <t>г. Кандалакша, ул. Первомайская, д. 62</t>
  </si>
  <si>
    <t>г. Кандалакша, ул. Первомайская, д. 77</t>
  </si>
  <si>
    <t>1934</t>
  </si>
  <si>
    <t>г. Кандалакша, ул. Первомайская, д. 85</t>
  </si>
  <si>
    <t>г. Кандалакша, ул. Советская, д. 22</t>
  </si>
  <si>
    <t>1936</t>
  </si>
  <si>
    <t>г. Кандалакша, ул. Спекова, д. 8</t>
  </si>
  <si>
    <t>г. Кандалакша, ул. Уверова, д. 22</t>
  </si>
  <si>
    <t>г. Кандалакша, ул. Фрунзе, д. 5</t>
  </si>
  <si>
    <t>1941</t>
  </si>
  <si>
    <t>Кольский муниципальный район</t>
  </si>
  <si>
    <t>Муниципальное образование городское поселение Кильдинстрой Кольского района</t>
  </si>
  <si>
    <t>пгт Кильдинстрой, ул. Советская, д. 11</t>
  </si>
  <si>
    <t>пгт Кильдинстрой, ул. Советская, д. 14</t>
  </si>
  <si>
    <t>пгт Кильдинстрой, ул. Советская, д. 15</t>
  </si>
  <si>
    <t>Муниципальное образование городское поселение Кола Кольского района</t>
  </si>
  <si>
    <t>г. Кола, ул. Кривошеева, д. 13</t>
  </si>
  <si>
    <t>г. Кола, ул. Победы, д. 20</t>
  </si>
  <si>
    <t>Муниципальное образование городское поселение Мурмаши Кольского района</t>
  </si>
  <si>
    <t>пгт Мурмаши, ул. Полярная, д. 4</t>
  </si>
  <si>
    <t>пгт Мурмаши, ул. Тягунова, д. 3</t>
  </si>
  <si>
    <t>пгт Мурмаши, ул. Тягунова, д. 8</t>
  </si>
  <si>
    <t>1988</t>
  </si>
  <si>
    <t>1968</t>
  </si>
  <si>
    <t>Муниципальное образование городское поселение Туманный Кольского района</t>
  </si>
  <si>
    <t>пгт Туманный, ул. Энергетиков, д. 8</t>
  </si>
  <si>
    <t>пгт Туманный, ул. Энергетиков, д. 9</t>
  </si>
  <si>
    <t>Ловозерский муниципальный район</t>
  </si>
  <si>
    <t>Муниципальное образование сельское поселение Ловозеро Ловозерского района</t>
  </si>
  <si>
    <t>с. Ловозеро, ул. Вокуева, д. 17</t>
  </si>
  <si>
    <t>1978</t>
  </si>
  <si>
    <t>с. Ловозеро, ул. Пионерская, д. 20</t>
  </si>
  <si>
    <t>с. Ловозеро, ул. Пионерская, д. 21</t>
  </si>
  <si>
    <t>Муниципальное образование городское поселение Ревда Ловозерского района</t>
  </si>
  <si>
    <t>Печенгский муниципальный район</t>
  </si>
  <si>
    <t>Муниципальное образование городское поселение Заполярный Печенгского района</t>
  </si>
  <si>
    <t>г. Заполярный, пер. А.В. Шмакова, д. 1</t>
  </si>
  <si>
    <t>г. Заполярный, пер. А.В. Шмакова, д. 3</t>
  </si>
  <si>
    <t>г. Заполярный, пер. А.В. Шмакова, д. 4</t>
  </si>
  <si>
    <t>г. Заполярный, пер. Короткий, д. 2</t>
  </si>
  <si>
    <t>г. Заполярный, ул. Крупской, д. 7</t>
  </si>
  <si>
    <t>г. Заполярный, ул. Ленина, д. 29</t>
  </si>
  <si>
    <t>г. Заполярный, ул. Юбилейная, д. 7</t>
  </si>
  <si>
    <t>1967</t>
  </si>
  <si>
    <t>Муниципальное образование городское поселение Никель Печенгского района</t>
  </si>
  <si>
    <t>пгт Никель, пр. Гвардейский, д. 37</t>
  </si>
  <si>
    <t>1989</t>
  </si>
  <si>
    <t>пгт Никель, пр. Гвардейский, д. 39</t>
  </si>
  <si>
    <t>1985</t>
  </si>
  <si>
    <t>пгт Никель, ул. 14 Армии, д. 5а</t>
  </si>
  <si>
    <t>1954</t>
  </si>
  <si>
    <t>пгт Никель, ул. Бредова, д. 6/12</t>
  </si>
  <si>
    <t>1965</t>
  </si>
  <si>
    <t>пгт Никель, ул. Бредова, д. 10</t>
  </si>
  <si>
    <t>1973</t>
  </si>
  <si>
    <t>пгт Никель, ул. Бредова, д. 12</t>
  </si>
  <si>
    <t>1974</t>
  </si>
  <si>
    <t>пгт Никель, ул. Октябрьская, д. 4</t>
  </si>
  <si>
    <t>пгт Никель, ул. Печенгская, д. 13/11</t>
  </si>
  <si>
    <t>пгт Никель, ул. Печенгская, д. 18/9</t>
  </si>
  <si>
    <t>1966</t>
  </si>
  <si>
    <t>пгт Никель, ул. Победы, д. 16</t>
  </si>
  <si>
    <t>пгт Никель, ул. Сидоровича, д. 18</t>
  </si>
  <si>
    <t>1979</t>
  </si>
  <si>
    <t>пгт Никель, ул. Спортивная, д. 1б</t>
  </si>
  <si>
    <t>1969</t>
  </si>
  <si>
    <t>Терский муниципальный район</t>
  </si>
  <si>
    <t>г.п. Умба, ул. Беломорская, д. 3</t>
  </si>
  <si>
    <t>г.п. Умба, ул. Беломорская, д. 9</t>
  </si>
  <si>
    <t>г.п. Умба, ул. Горная, д. 52</t>
  </si>
  <si>
    <t>1955</t>
  </si>
  <si>
    <t>с.п. Пушной, ул. Советская, д. 2</t>
  </si>
  <si>
    <t>Итого Терский муниципальный район на 2015 год:</t>
  </si>
  <si>
    <t>Итого Печенгский муниципальный район на 2015 год:</t>
  </si>
  <si>
    <t>Итого Ловозерский муниципальный район на 2015 год:</t>
  </si>
  <si>
    <t>Итого Кольский муниципальный район на 2015 год:</t>
  </si>
  <si>
    <t>Итого Кандалакшский муниципальный район на 2015 год:</t>
  </si>
  <si>
    <t>ЗАТО г. Островной, ул. Соловья, д. 5</t>
  </si>
  <si>
    <t>ЗАТО г. Островной, ул. Соловья, д. 10</t>
  </si>
  <si>
    <t>г. Мончегорск, ул. Кольская, д. 4</t>
  </si>
  <si>
    <t>г. Мончегорск, наб. Комсомольская, д. 60</t>
  </si>
  <si>
    <t>г. Мончегорск, ул. Советская, д. 12</t>
  </si>
  <si>
    <t>г. Мончегорск, ул. Комсомольская, д. 26 стр. а</t>
  </si>
  <si>
    <t>г. Мурманск, пер. Арктический, д. 16</t>
  </si>
  <si>
    <t>г. Мурманск, пер. Охотничий, д. 17</t>
  </si>
  <si>
    <t>г. Мурманск, пр. Кольский, д. 36</t>
  </si>
  <si>
    <t>г. Мурманск, пр. Ленина, д. 13</t>
  </si>
  <si>
    <t>г. Мурманск, пр. Ленина, д. 17</t>
  </si>
  <si>
    <t>г. Мурманск, пр. Ленина, д. 20</t>
  </si>
  <si>
    <t>г. Мурманск, пр. Ленина, д. 22</t>
  </si>
  <si>
    <t>г. Мурманск, пр. Ленина, д. 60</t>
  </si>
  <si>
    <t>г. Мурманск, пр. Ленина, д. 70</t>
  </si>
  <si>
    <t>г. Мурманск, пр. Ленина, д. 76</t>
  </si>
  <si>
    <t>г. Мурманск, пр. Ленина, д. 78</t>
  </si>
  <si>
    <t>г. Мурманск, ул. Адмирала флота Лобова, д. 49/17</t>
  </si>
  <si>
    <t>г. Мурманск, ул. Академика Павлова, д. 24</t>
  </si>
  <si>
    <t>г. Мурманск, ул. Академика Павлова, д. 26</t>
  </si>
  <si>
    <t>г. Мурманск, ул. Академика Павлова, д. 40</t>
  </si>
  <si>
    <t>г. Мурманск, ул. Виктора Миронова, д. 10</t>
  </si>
  <si>
    <t>г. Мурманск, ул. Вице-адмирала Николаева, д. 3</t>
  </si>
  <si>
    <t>г. Мурманск, ул. Володарского, д. 2/12</t>
  </si>
  <si>
    <t>г. Мурманск, ул. Гвардейская, д. 11</t>
  </si>
  <si>
    <t>г. Мурманск, ул. Гончарова, д. 13</t>
  </si>
  <si>
    <t>г. Мурманск, ул. Капитана Маклакова, д. 23</t>
  </si>
  <si>
    <t>г. Мурманск, ул. Карла Либкнехта, д. 21/22</t>
  </si>
  <si>
    <t>г. Мурманск, ул. Карла Либкнехта, д. 27</t>
  </si>
  <si>
    <t>г. Мурманск, ул. Карла Маркса, д. 6/1</t>
  </si>
  <si>
    <t>г. Мурманск, ул. Карла Маркса, д. 8/2</t>
  </si>
  <si>
    <t>г. Мурманск, ул. Карла Маркса, д. 42</t>
  </si>
  <si>
    <t>г. Мурманск, ул. Коминтерна, д. 11/2</t>
  </si>
  <si>
    <t>г. Мурманск, ул. Нахимова, д. 7</t>
  </si>
  <si>
    <t>г. Мурманск, ул. Нахимова, д. 17</t>
  </si>
  <si>
    <t>г. Мурманск, ул. Подстаницкого, д. 12</t>
  </si>
  <si>
    <t>г. Мурманск, ул. Подстаницкого, д. 16</t>
  </si>
  <si>
    <t>г. Мурманск, ул. Подстаницкого, д. 18</t>
  </si>
  <si>
    <t>г. Мурманск, ул. Полярные Зори, д. 3</t>
  </si>
  <si>
    <t>г. Мурманск, ул. Полярные Зори, д. 33/2</t>
  </si>
  <si>
    <t>г. Мурманск, ул. Прибрежная, д. 6</t>
  </si>
  <si>
    <t>г. Мурманск, ул. Пушкинская, д. 7</t>
  </si>
  <si>
    <t>г. Мурманск, ул. Пушкинская, д. 12</t>
  </si>
  <si>
    <t>г. Мурманск, ул. Ростинская, д. 3</t>
  </si>
  <si>
    <t>г. Мурманск, ул. Сафонова, д. 19</t>
  </si>
  <si>
    <t>г. Мурманск, ул. Свердлова, д. 2/3</t>
  </si>
  <si>
    <t>г. Мурманск, ул. Свердлова, д. 12/1</t>
  </si>
  <si>
    <t>г. Мурманск, ул. Свердлова, д. 26</t>
  </si>
  <si>
    <t>г. Мурманск, ул. Семена Дежнева, д. 14</t>
  </si>
  <si>
    <t>г. Мурманск, ул. Семена Дежнева, д. 16</t>
  </si>
  <si>
    <t>г. Мурманск, ул. Семена Дежнева, д. 18</t>
  </si>
  <si>
    <t>г. Мурманск, ул. Старостина, д. 10</t>
  </si>
  <si>
    <t>г. Мурманск, ул. Челюскинцев, д. 7</t>
  </si>
  <si>
    <t>г. Мурманск, ул. Челюскинцев, д. 18/20</t>
  </si>
  <si>
    <t>г. Мурманск, ул. Челюскинцев, д. 20</t>
  </si>
  <si>
    <t>с. Алакуртти, ул. Грязнова, д. 1</t>
  </si>
  <si>
    <t>с. Алакуртти, наб. Нижняя, д. 1 а</t>
  </si>
  <si>
    <t>Муниципальное образование сельское поселение Зареченск Кандалакшского района</t>
  </si>
  <si>
    <t>г. Кандалакша, ул. Комсомольская, д. 8</t>
  </si>
  <si>
    <t>г. Кандалакша, ул. Восточная, д. 10</t>
  </si>
  <si>
    <t>г. Кандалакша, ул. Наймушина, д. 4</t>
  </si>
  <si>
    <t>г. Кандалакша, ул.Кандалакшское шоссе, д. 41/4</t>
  </si>
  <si>
    <t>г. Кандалакша, ул.Данилова, д. 27</t>
  </si>
  <si>
    <t>г. Кандалакша, ул. Пионерская, д. 5</t>
  </si>
  <si>
    <t>г. Кандалакша, ул. Фрунзе, д. 34</t>
  </si>
  <si>
    <t>г. Кандалакша, ул. Пронина, д. 10</t>
  </si>
  <si>
    <t>г. Кандалакша, ул. 2-я линия, д. 27</t>
  </si>
  <si>
    <t>г. Кандалакша, ул. 3-я линия, д. 53</t>
  </si>
  <si>
    <t>г. Кандалакша, ул. Кировская аллея, д. 19</t>
  </si>
  <si>
    <t>г. Кандалакша, ул. Комсомольская, д. 22а</t>
  </si>
  <si>
    <t>Итого Кандалакшский муниципальный район на 2016 год:</t>
  </si>
  <si>
    <t>г. Кола, ул. Кривошеева, д. 14</t>
  </si>
  <si>
    <t>г. Кола, ул. Андрусенко, д. 21</t>
  </si>
  <si>
    <t>г. Кола, пер. Островский, д. 5</t>
  </si>
  <si>
    <t>г. Кола, пер. Островский, д. 4</t>
  </si>
  <si>
    <t>г. Кола, ул. Миронова, д. 7</t>
  </si>
  <si>
    <t>Муниципальное образование городское поселение Верхнетуломский Кольского района</t>
  </si>
  <si>
    <t>пгт Верхнетуломский, ул. Падунская, д. 5</t>
  </si>
  <si>
    <t>Муниципальное образование сельское поселение Междуречье Кольского района</t>
  </si>
  <si>
    <t>Муниципальное образование городское поселение Молочный Кольского района</t>
  </si>
  <si>
    <t>пгт Молочный, ул. Гальченко, д. 1</t>
  </si>
  <si>
    <t>пгт Молочный, ул. Гальченко, д. 3</t>
  </si>
  <si>
    <t>пгт Молочный, ул. Гальченко, д. 5</t>
  </si>
  <si>
    <t>пгт Молочный, ул. Молодежная, д. 2</t>
  </si>
  <si>
    <t>пгт Мурмаши, ул. Советская, д. 20</t>
  </si>
  <si>
    <t>пгт Мурмаши, ул. Комсомольская, д. 9</t>
  </si>
  <si>
    <t>пгт Мурмаши, ул. Причальная, д. 3</t>
  </si>
  <si>
    <t>Итого по Мурманской области на 2014 год:</t>
  </si>
  <si>
    <t>Итого по Мурманской области на 2015 год:</t>
  </si>
  <si>
    <t>Итого по Мурманской области на 2016 год:</t>
  </si>
  <si>
    <t>Х</t>
  </si>
  <si>
    <t>Итого Кандалакшский муниципальный район на 2014 год:</t>
  </si>
  <si>
    <t>Итого Кольский муниципальный район на 2014 год:</t>
  </si>
  <si>
    <t>Итого Кольский муниципальный район на 2016 год:</t>
  </si>
  <si>
    <t>с.п. Пушной, ул. Советская, д. 1</t>
  </si>
  <si>
    <t>с. Ловозеро, ул. Пионерская, д. 18</t>
  </si>
  <si>
    <t>1981</t>
  </si>
  <si>
    <t>с. Ловозеро, ул. Советская, д. 23</t>
  </si>
  <si>
    <t>1961</t>
  </si>
  <si>
    <t>с. Ловозеро, ул. Юрьева, д. 6</t>
  </si>
  <si>
    <t>Итого Ловозерский муниципальный район на 2014 год:</t>
  </si>
  <si>
    <t>Итого Ловозерский муниципальный район на 2016 год:</t>
  </si>
  <si>
    <t>пгт Зеленоборский, ул. Заводская, д. 7</t>
  </si>
  <si>
    <t>пгт Никель, ул. Печенгская, д. 16</t>
  </si>
  <si>
    <t>нп Африканда, ул. Первомайская, д. 5</t>
  </si>
  <si>
    <t>нп Африканда, ул. Советская, д. 3</t>
  </si>
  <si>
    <t>нп Африканда, ул. Советская, д. 7</t>
  </si>
  <si>
    <t>нп Нивский, ул. Кондрашкина, д. 7</t>
  </si>
  <si>
    <t>нп Нивский, ул. Кондрашкина, д. 8</t>
  </si>
  <si>
    <t>нп Нивский, ул. Кондрашкина, д. 11</t>
  </si>
  <si>
    <t>нп Нивский, ул. Кондрашкина, д. 13</t>
  </si>
  <si>
    <t>нп Нивский, ул. Кондрашкина, д. 16</t>
  </si>
  <si>
    <t>нп Нивский, ул. Кондрашкина, д. 18</t>
  </si>
  <si>
    <t>нп Междуречье, д. 3</t>
  </si>
  <si>
    <t>Итого Печенгский муниципальный район на 2014 год:</t>
  </si>
  <si>
    <t>Итого Печенгский муниципальный район на 2016 год:</t>
  </si>
  <si>
    <t>Итого Терский муниципальный район на 2014 год:</t>
  </si>
  <si>
    <t>Итого Терский муниципальный район на 2016 год:</t>
  </si>
  <si>
    <t>г. Заполярный, ул. Юбилейная, д. 2</t>
  </si>
  <si>
    <t>Общая площадь помещений МКД, всего</t>
  </si>
  <si>
    <t>нп Африканда, ул. Советская, д. 5</t>
  </si>
  <si>
    <t>г. Полярные Зори, пр. Нивский, д. 14</t>
  </si>
  <si>
    <t>г. Полярные Зори, ул. Пушкина, д. 5</t>
  </si>
  <si>
    <t>г. Полярные Зори, ул. Белова, д. 1</t>
  </si>
  <si>
    <t>г. Полярные Зори, ул. Белова, д. 8</t>
  </si>
  <si>
    <t>г. Полярные Зори, ул. Партизан Заполярья, д. 4</t>
  </si>
  <si>
    <t>нп Африканда, ул. Комсомольская, д. 6</t>
  </si>
  <si>
    <t xml:space="preserve">нп Зашеек, ул. Новая, д. 40 </t>
  </si>
  <si>
    <t>нп Зашеек, ул. Новая, д. 3а</t>
  </si>
  <si>
    <t>нп Зашеек, ул. Станционная, д. 8</t>
  </si>
  <si>
    <t xml:space="preserve">нп Зашеек, ул. Новая, д. 6 </t>
  </si>
  <si>
    <t>пгт Сафоново, ул. Панина, д. 5</t>
  </si>
  <si>
    <t>пгт Сафоново, ул. Панина, д. 6</t>
  </si>
  <si>
    <t>пгт Сафоново, ул. Панина, д. 8</t>
  </si>
  <si>
    <t>пгт Сафоново, ул. Панина, д. 9</t>
  </si>
  <si>
    <t>пгт Никель, пр. Гвардейский, д. 4</t>
  </si>
  <si>
    <t>пгт Никель, пр. Гвардейский, д. 23</t>
  </si>
  <si>
    <t>г. Кола, пр. Защитников Заполярья, д. 28</t>
  </si>
  <si>
    <t>г. Кола, пр. Советский, д. 14</t>
  </si>
  <si>
    <t>г. Кола, пр. Советский, д. 43</t>
  </si>
  <si>
    <t>г. Апатиты, ул. Комсомольская, д. 2</t>
  </si>
  <si>
    <t>г. Апатиты, ул. Московская, д. 10</t>
  </si>
  <si>
    <t>г. Мурманск, ул. Свердлова, д. 44, кор. 3</t>
  </si>
  <si>
    <t>пгт Ревда, ул. Нефедова, д. 2</t>
  </si>
  <si>
    <t>г. Североморск, ул. адмирала Сизова, д. 7</t>
  </si>
  <si>
    <t>г. Североморск, ул. адмирала Сизова, д. 16</t>
  </si>
  <si>
    <t>г. Снежногорск, ул. Победы, д. 2</t>
  </si>
  <si>
    <t>пгт Росляково, ул. Молодежная, д. 16</t>
  </si>
  <si>
    <t>г. Заполярный, ул. Юбилейная, д. 8</t>
  </si>
  <si>
    <t>г. Мурманск, пр. Ленина, д. 81</t>
  </si>
  <si>
    <t>г. Мурманск, пр. Ленина, д. 83</t>
  </si>
  <si>
    <t>г. Мурманск, пр. Ленина, д. 85</t>
  </si>
  <si>
    <t>г. Мурманск, пр. Ленина, д. 88</t>
  </si>
  <si>
    <t>г. Мурманск, пр. Ленина, д. 94</t>
  </si>
  <si>
    <t>г. Мурманск, пр. Ленина, д. 96</t>
  </si>
  <si>
    <t>г. Мурманск, пр-д Капитана Тарана, д. 19</t>
  </si>
  <si>
    <t>г. Мурманск, пр. Ленина, д. 61</t>
  </si>
  <si>
    <t>г. Мурманск, пр. Ленина, д. 65</t>
  </si>
  <si>
    <t>г. Мурманск, пр. Ленина, д. 72</t>
  </si>
  <si>
    <t>г. Мурманск, пр. Ленина, д. 79</t>
  </si>
  <si>
    <t>г. Мурманск, пр. Ленина, д. 80</t>
  </si>
  <si>
    <t>г. Мурманск, пр. Ленина, д. 92</t>
  </si>
  <si>
    <t>г. Мурманск, пр. Ленина, д. 95</t>
  </si>
  <si>
    <t>г. Мурманск, пр. Ленина, д. 98</t>
  </si>
  <si>
    <t>г. Мурманск, пр. Ленина, д. 48</t>
  </si>
  <si>
    <t>г. Мурманск, пр. Ленина, д. 77</t>
  </si>
  <si>
    <t>г. Снежногорск, ул. Октябрьская, д. 11</t>
  </si>
  <si>
    <t>г. Снежногорск, ул. Октябрьская, д. 13</t>
  </si>
  <si>
    <t>г. Снежногорск, ул. Октябрьская, д. 15</t>
  </si>
  <si>
    <t>г. Снежногорск, ул. Павла Стеблина, д. 15</t>
  </si>
  <si>
    <t>г. Полярный, ул. Гагарина, д. 5</t>
  </si>
  <si>
    <t>г. Полярный, ул. Гагарина, д.7</t>
  </si>
  <si>
    <t>г. Полярный, ул. Гаджиева, д. 4</t>
  </si>
  <si>
    <t>г. Полярный, ул. Гандюхина, д. 6</t>
  </si>
  <si>
    <t>г. Полярный, ул. Героев "Тумана", д. 9</t>
  </si>
  <si>
    <t>г. Полярный, ул. Героев Североморцев, д. 3</t>
  </si>
  <si>
    <t>г. Полярный, ул. Героев Североморцев, д. 6</t>
  </si>
  <si>
    <t>г. Полярный, ул. Героев Североморцев, д. 17</t>
  </si>
  <si>
    <t>г. Полярный, ул. Красный Горн, д. 1</t>
  </si>
  <si>
    <t>г. Полярный, ул. Красный Горн, д. 4</t>
  </si>
  <si>
    <t>г. Полярный, ул. Красный Горн, д. 12</t>
  </si>
  <si>
    <t>г. Полярный, ул. Красный Горн, д. 23</t>
  </si>
  <si>
    <t>г. Полярный, ул. Красный Горн, д. 26</t>
  </si>
  <si>
    <t>г. Полярный, ул. Лунина, д. 10</t>
  </si>
  <si>
    <t>г. Полярный, ул. Сивко,д. 13</t>
  </si>
  <si>
    <t>г. Полярный, ул. Душенова, д. 9</t>
  </si>
  <si>
    <t xml:space="preserve">г. Полярный, ул. Фисановича,  д. 8                                                                                                                                                                                                                           </t>
  </si>
  <si>
    <t>г. Полярный, ул. Фисановича,  д. 9</t>
  </si>
  <si>
    <t>г. Гаджиево, ул. Гаджиева, д. 23</t>
  </si>
  <si>
    <t>нп. Оленья Губа, ул. Строителей, д. 33</t>
  </si>
  <si>
    <t>г. Мурманск, ул. Академика Павлова, д. 5</t>
  </si>
  <si>
    <t>г. Мурманск, пр-д Ивана Александровича Халатина, д. 8</t>
  </si>
  <si>
    <t>г. Мурманск, ул. Юрия Гагарина, д. 39</t>
  </si>
  <si>
    <t>г. Мурманск, ул. им. профессора Сомова, д. 7</t>
  </si>
  <si>
    <t>г. Мурманск, ул. Баумана, д. 34</t>
  </si>
  <si>
    <t>г. Мурманск, ул. Баумана, д. 36</t>
  </si>
  <si>
    <t>г. Мурманск, ул. Самойловой, д. 12</t>
  </si>
  <si>
    <t>г. Мурманск, ул. Капитана Маклакова, д. 13</t>
  </si>
  <si>
    <t>г. Мурманск, ул. Капитана Маклакова, д. 21</t>
  </si>
  <si>
    <t>г. Мурманск, ул. им. Капитана Копытова С.Д., д. 21</t>
  </si>
  <si>
    <t>г. Мурманск, ул. Самойловой, д. 18</t>
  </si>
  <si>
    <t>г. Мурманск, ул. им. Виктора Миронова, д. 10</t>
  </si>
  <si>
    <t>г. Мурманск, ул. генерала Фролова, д. 3</t>
  </si>
  <si>
    <t>г. Мурманск, ул. Баумана, д. 14</t>
  </si>
  <si>
    <t>г. Мурманск, ул. Юрия Смирнова, д. 16</t>
  </si>
  <si>
    <t>г. Мурманск, ул. Юрия Смирнова, д. 20</t>
  </si>
  <si>
    <t>г. Мурманск, ул. Юрия Смирнова, д. 22</t>
  </si>
  <si>
    <t>г. Мурманск, ул. Анатолия Бредова, д. 5</t>
  </si>
  <si>
    <t>г. Мурманск, ул. им. Вице-адмирала Николаева, д. 1/9</t>
  </si>
  <si>
    <t>г. Мурманск, ул. Алексея Генералова, д. 11</t>
  </si>
  <si>
    <t>г. Мурманск, ул. Баумана, д. 16</t>
  </si>
  <si>
    <t>г. Мурманск, ул. Академика Павлова, д. 3</t>
  </si>
  <si>
    <t>*  Завершение капитального ремонта общего имущества в многоквартирных домах, являющихся объектами культурного наследия возможно не позднее, чем 31 декабря года, следующего за годом, в котором запланировано начало работ.</t>
  </si>
  <si>
    <t>г. Мурманск, б-р Театральный, д. 7</t>
  </si>
  <si>
    <t>Мурманской области</t>
  </si>
  <si>
    <t>Ковдорский район</t>
  </si>
  <si>
    <t>г. Ковдор, пл. Ленина, д. 3</t>
  </si>
  <si>
    <t>г. Ковдор, пл. Ленина, д. 4</t>
  </si>
  <si>
    <t>г. Ковдор, ул. Горняков, д. 7</t>
  </si>
  <si>
    <t>г. Ковдор, ул. Коновалова, д. 4</t>
  </si>
  <si>
    <t>г. Ковдор, ул. Коновалова, д. 6</t>
  </si>
  <si>
    <t>г. Ковдор, ул. Коновалова, д. 8</t>
  </si>
  <si>
    <t>г. Ковдор, ул. Ленина, д. 1</t>
  </si>
  <si>
    <t>г. Ковдор, ул. Ленина, д. 4</t>
  </si>
  <si>
    <t>г. Ковдор, ул. Горняков, д. 3</t>
  </si>
  <si>
    <t>г. Ковдор, ул. Горняков, д. 24</t>
  </si>
  <si>
    <t>г. Ковдор, пл. Ленина, д. 5</t>
  </si>
  <si>
    <t>г. Ковдор, ул. Кирова, д. 7</t>
  </si>
  <si>
    <t>г. Ковдор, ул. Сухачева, д. 19</t>
  </si>
  <si>
    <t>г. Ковдор, ул. Сухачева, д. 23</t>
  </si>
  <si>
    <t>г. Ковдор, пл. Ленина, д. 2</t>
  </si>
  <si>
    <t>г. Ковдор, ул. Ленина, д. 8</t>
  </si>
  <si>
    <t xml:space="preserve">     Предельная стоимость работ, выполняемых при финансовой поддержке за счет средств Фонда содействия реформированию жилищно-коммунального хозяйства:</t>
  </si>
  <si>
    <t>Новая редакция:</t>
  </si>
  <si>
    <t>Утвержденная редакция:</t>
  </si>
  <si>
    <t>Отклонение:</t>
  </si>
  <si>
    <r>
      <t xml:space="preserve">      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без учета замены лифтового оборудования - 11 379,86 руб.; </t>
    </r>
  </si>
  <si>
    <t xml:space="preserve">      - размер затрат на осуществление строительного контроля при проведении капитального ремонта МКД составляет не более 1,5 % от стоимости фактически выполненных работ.»</t>
  </si>
  <si>
    <r>
      <t xml:space="preserve">      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с учетом замены лифтового оборудования - 12 777,69 руб.;</t>
    </r>
  </si>
  <si>
    <t>ОКН</t>
  </si>
  <si>
    <t>Объекты культурного наследия *</t>
  </si>
  <si>
    <t>Адресный перечень многоквартирных домов, в отношении которых планируется проведение капитального ремонта общего имущества</t>
  </si>
  <si>
    <t xml:space="preserve">к постановлению Правительства </t>
  </si>
  <si>
    <t xml:space="preserve">Приложение </t>
  </si>
  <si>
    <t>** Предельная стоимость работ, выполняемых за счет средств фонда капитального ремонта, формируемого на счете НКО «ФКР МО»,  расчитывается на дату проведения конкурсного отбора подрядной организации в соответствии с предельной стоимостью работ, установленной постановлением Правительства Мурманской области.</t>
  </si>
  <si>
    <t>«Сводный краткосрочный план реализации региональной программы капитального ремонта общего имущества в многоквартирных домах,                                                                                                                                                      расположенных на территории Мурманской области, на 2014 - 2016 годы</t>
  </si>
  <si>
    <t>г. Снежногорск, ул. В. Бирюкова, д. 11</t>
  </si>
  <si>
    <t xml:space="preserve">г. Ковдор, ул. Горняков, д. 1 </t>
  </si>
  <si>
    <t xml:space="preserve">г. Кировск, ул. Мира, д. 6 </t>
  </si>
  <si>
    <t xml:space="preserve">г. Мурманск, пр. Ленина, д. 7 </t>
  </si>
  <si>
    <t>г. Кировск, ул. Юбилейная, д. 7</t>
  </si>
  <si>
    <t>г. Мончегорск, пр. Ленина, д. 9/23</t>
  </si>
  <si>
    <t>г. Мончегорск, пр. Металлургов, д. 33</t>
  </si>
  <si>
    <t xml:space="preserve">г. Мончегорск, ул. Железнодорожная, д. 9  </t>
  </si>
  <si>
    <t xml:space="preserve">г. Мончегорск, ул. Стахановская, д. 15 </t>
  </si>
  <si>
    <t xml:space="preserve">г. Мончегорск, ул. Стахановская, д. 23 </t>
  </si>
  <si>
    <t xml:space="preserve">г. Мончегорск, ул. Стахановская, д. 27 </t>
  </si>
  <si>
    <t xml:space="preserve">г. Мончегорск, пр. Ленина, д. 7/42 </t>
  </si>
  <si>
    <t xml:space="preserve">г. Мончегорск, ул. Комарова, д. 25 </t>
  </si>
  <si>
    <t xml:space="preserve">г. Мончегорск, пр. Металлургов, д. 70 </t>
  </si>
  <si>
    <t xml:space="preserve">г. Мончегорск, пр. Металлургов, д. 49 </t>
  </si>
  <si>
    <t xml:space="preserve">г. Мончегорск, пр. Металлургов, д. 27 </t>
  </si>
  <si>
    <t xml:space="preserve">г. Мурманск, пр. Ленина, д. 18 </t>
  </si>
  <si>
    <t xml:space="preserve">г. Мурманск, ул. Володарского, д. 10 </t>
  </si>
  <si>
    <t xml:space="preserve">г. Мурманск, ул. Набережная, д. 15 </t>
  </si>
  <si>
    <t xml:space="preserve">г. Мурманск, ул. Нахимова, д. 29 </t>
  </si>
  <si>
    <t>г. Мурманск, ул. Папанина, д. 5</t>
  </si>
  <si>
    <t xml:space="preserve">г. Мурманск, ул. Пригородная, д. 43 </t>
  </si>
  <si>
    <t xml:space="preserve">г. Мурманск, ул. Челюскинцев, д. 25 </t>
  </si>
  <si>
    <t xml:space="preserve">г. Мурманск, ул. Челюскинцев, д. 31 </t>
  </si>
  <si>
    <t xml:space="preserve">г. Мурманск, ул. Комсомольская, д. 3 </t>
  </si>
  <si>
    <t xml:space="preserve">г. Мурманск, ул. Самойловой, д. 3 </t>
  </si>
  <si>
    <t xml:space="preserve">г. Мурманск, ул. Самойловой, д. 5 </t>
  </si>
  <si>
    <t xml:space="preserve">г. Мурманск, ул. Профсоюзов, д. 1 </t>
  </si>
  <si>
    <t xml:space="preserve">г. Мурманск, пр. Ленина, д. 84 </t>
  </si>
  <si>
    <t xml:space="preserve">г. Мурманск, ул. Октябрьская, д. 9 </t>
  </si>
  <si>
    <t xml:space="preserve">г. Мурманск, ул. Сафонова, д. 30 </t>
  </si>
  <si>
    <t xml:space="preserve">г. Мурманск, ул. Трудовых резервов, д. 6 </t>
  </si>
  <si>
    <t xml:space="preserve">пгт Мурмаши, ул. Полярная, д. 6 </t>
  </si>
  <si>
    <t xml:space="preserve">ж/д ст. Лопарская, ул. Восход, д. 13 </t>
  </si>
  <si>
    <t xml:space="preserve">пгт Ревда, ул. Победы, д. 14 </t>
  </si>
  <si>
    <t xml:space="preserve">пгт Ревда, ул. Победы, д. 16 </t>
  </si>
  <si>
    <t xml:space="preserve">г. Заполярный, пер. Советский, д. 5 </t>
  </si>
  <si>
    <t xml:space="preserve">пгт Никель, пр. Гвардейский, д. 6/1  </t>
  </si>
  <si>
    <t xml:space="preserve">пгт Никель, ул. 14 Армии, д. 3 </t>
  </si>
  <si>
    <t xml:space="preserve">пгт Никель, ул. Печенгская, д. 11 </t>
  </si>
  <si>
    <t xml:space="preserve">г.п. Умба, ул. Горная, д. 33 </t>
  </si>
  <si>
    <t xml:space="preserve">г.п. Умба, ул. Дзержинского, д. 52 </t>
  </si>
  <si>
    <t>г.п. Умба, ул. Победы, д. 37</t>
  </si>
  <si>
    <t>от ___________  № _______</t>
  </si>
  <si>
    <t>г. Мурманск, пр. Ленина, д. 46</t>
  </si>
  <si>
    <t xml:space="preserve">г. Мурманск, пр. Ленина, д. 86 </t>
  </si>
  <si>
    <t>г. Мурманск, пр. Героев-Североморцев, д. 5/3</t>
  </si>
  <si>
    <t>ж/д ст. Лопарская, ул. Восход, д. 15а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</si>
</sst>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#,##0.00\ _р_."/>
    <numFmt numFmtId="165" formatCode="#,##0.00_р_."/>
    <numFmt numFmtId="166" formatCode="_-* #,##0.00\ _р_._-;\-* #,##0.00\ _р_._-;_-* &quot;-&quot;???\ _р_._-;_-@_-"/>
    <numFmt numFmtId="167" formatCode="[$-419]General"/>
    <numFmt numFmtId="168" formatCode="_-* #,##0_р_._-;\-* #,##0_р_._-;_-* &quot;-&quot;??_р_._-;_-@_-"/>
    <numFmt numFmtId="169" formatCode="_-* #,##0.000_р_._-;\-* #,##0.000_р_._-;_-* &quot;-&quot;??_р_._-;_-@_-"/>
    <numFmt numFmtId="170" formatCode="#,##0.0"/>
    <numFmt numFmtId="171" formatCode="0.0"/>
    <numFmt numFmtId="172" formatCode="_-* #,##0.0_р_._-;\-* #,##0.0_р_._-;_-* &quot;-&quot;??_р_._-;_-@_-"/>
    <numFmt numFmtId="173" formatCode="#,##0.00_ ;\-#,##0.00\ "/>
  </numFmts>
  <fonts count="38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3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 applyNumberFormat="0" applyBorder="0" applyProtection="0">
      <alignment horizontal="left" vertical="center" wrapText="1"/>
    </xf>
    <xf numFmtId="167" fontId="13" fillId="0" borderId="0" applyBorder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4" fillId="8" borderId="2" applyNumberFormat="0" applyAlignment="0" applyProtection="0"/>
    <xf numFmtId="0" fontId="15" fillId="9" borderId="3" applyNumberFormat="0" applyAlignment="0" applyProtection="0"/>
    <xf numFmtId="0" fontId="16" fillId="9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0" borderId="8" applyNumberFormat="0" applyAlignment="0" applyProtection="0"/>
    <xf numFmtId="0" fontId="22" fillId="0" borderId="0" applyNumberFormat="0" applyFill="0" applyBorder="0" applyAlignment="0" applyProtection="0"/>
    <xf numFmtId="0" fontId="23" fillId="11" borderId="0" applyNumberFormat="0" applyBorder="0" applyAlignment="0" applyProtection="0"/>
    <xf numFmtId="0" fontId="8" fillId="0" borderId="0"/>
    <xf numFmtId="0" fontId="1" fillId="0" borderId="0" applyNumberFormat="0" applyBorder="0" applyProtection="0">
      <alignment horizontal="left" vertical="center" wrapText="1"/>
    </xf>
    <xf numFmtId="0" fontId="1" fillId="0" borderId="0" applyNumberFormat="0" applyBorder="0" applyProtection="0">
      <alignment horizontal="left" vertical="center" wrapText="1"/>
    </xf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13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>
      <alignment horizontal="left" vertical="center" wrapText="1"/>
    </xf>
    <xf numFmtId="43" fontId="1" fillId="0" borderId="0" applyFont="0" applyFill="0" applyBorder="0" applyAlignment="0" applyProtection="0">
      <alignment horizontal="left" vertical="center" wrapText="1"/>
    </xf>
    <xf numFmtId="0" fontId="28" fillId="14" borderId="0" applyNumberFormat="0" applyBorder="0" applyAlignment="0" applyProtection="0"/>
    <xf numFmtId="0" fontId="1" fillId="0" borderId="0" applyNumberFormat="0" applyBorder="0" applyProtection="0">
      <alignment horizontal="left" vertical="center"/>
    </xf>
  </cellStyleXfs>
  <cellXfs count="197">
    <xf numFmtId="0" fontId="0" fillId="0" borderId="0" xfId="0">
      <alignment horizontal="left" vertical="center" wrapText="1"/>
    </xf>
    <xf numFmtId="0" fontId="0" fillId="15" borderId="0" xfId="0" applyFill="1" applyAlignment="1">
      <alignment horizontal="left" vertical="top" wrapText="1"/>
    </xf>
    <xf numFmtId="0" fontId="0" fillId="15" borderId="0" xfId="0" applyFill="1" applyAlignment="1">
      <alignment horizontal="center" vertical="top" wrapText="1"/>
    </xf>
    <xf numFmtId="0" fontId="0" fillId="15" borderId="0" xfId="0" applyFill="1" applyAlignment="1">
      <alignment horizontal="right" vertical="top" wrapText="1"/>
    </xf>
    <xf numFmtId="43" fontId="1" fillId="15" borderId="0" xfId="27" applyNumberFormat="1" applyFont="1" applyFill="1" applyAlignment="1">
      <alignment horizontal="right" vertical="top" wrapText="1"/>
    </xf>
    <xf numFmtId="0" fontId="7" fillId="15" borderId="0" xfId="0" applyFont="1" applyFill="1" applyAlignment="1">
      <alignment vertical="top" wrapText="1"/>
    </xf>
    <xf numFmtId="0" fontId="0" fillId="15" borderId="0" xfId="0" applyFill="1">
      <alignment horizontal="left" vertical="center" wrapText="1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right" vertical="center" wrapText="1"/>
    </xf>
    <xf numFmtId="43" fontId="1" fillId="15" borderId="0" xfId="27" applyNumberFormat="1" applyFont="1" applyFill="1" applyAlignment="1">
      <alignment horizontal="right" vertical="center" wrapText="1"/>
    </xf>
    <xf numFmtId="0" fontId="5" fillId="15" borderId="0" xfId="0" applyFont="1" applyFill="1">
      <alignment horizontal="left" vertical="center" wrapText="1"/>
    </xf>
    <xf numFmtId="0" fontId="5" fillId="15" borderId="0" xfId="0" applyFont="1" applyFill="1" applyAlignment="1">
      <alignment horizontal="center" vertical="center" wrapText="1"/>
    </xf>
    <xf numFmtId="0" fontId="5" fillId="15" borderId="0" xfId="0" applyFont="1" applyFill="1" applyAlignment="1">
      <alignment horizontal="right" vertical="center" wrapText="1"/>
    </xf>
    <xf numFmtId="43" fontId="5" fillId="15" borderId="0" xfId="27" applyNumberFormat="1" applyFont="1" applyFill="1" applyAlignment="1">
      <alignment horizontal="right" vertical="center" wrapText="1"/>
    </xf>
    <xf numFmtId="0" fontId="36" fillId="15" borderId="0" xfId="0" applyFont="1" applyFill="1" applyAlignment="1">
      <alignment horizontal="right" vertical="center" wrapText="1"/>
    </xf>
    <xf numFmtId="43" fontId="36" fillId="15" borderId="0" xfId="27" applyNumberFormat="1" applyFont="1" applyFill="1" applyAlignment="1">
      <alignment horizontal="right" vertical="center" wrapText="1"/>
    </xf>
    <xf numFmtId="0" fontId="3" fillId="15" borderId="0" xfId="0" applyFont="1" applyFill="1" applyAlignment="1">
      <alignment horizontal="center" vertical="center" wrapText="1"/>
    </xf>
    <xf numFmtId="0" fontId="3" fillId="15" borderId="0" xfId="0" applyFont="1" applyFill="1" applyAlignment="1">
      <alignment horizontal="right" vertical="center" wrapText="1"/>
    </xf>
    <xf numFmtId="43" fontId="3" fillId="15" borderId="0" xfId="27" applyNumberFormat="1" applyFont="1" applyFill="1" applyAlignment="1">
      <alignment horizontal="right" vertical="center" wrapText="1"/>
    </xf>
    <xf numFmtId="43" fontId="6" fillId="15" borderId="1" xfId="27" applyNumberFormat="1" applyFont="1" applyFill="1" applyBorder="1" applyAlignment="1">
      <alignment horizontal="right" vertical="center" wrapText="1"/>
    </xf>
    <xf numFmtId="43" fontId="6" fillId="15" borderId="1" xfId="27" applyFont="1" applyFill="1" applyBorder="1" applyAlignment="1">
      <alignment horizontal="center" vertical="center" wrapText="1"/>
    </xf>
    <xf numFmtId="43" fontId="0" fillId="15" borderId="0" xfId="0" applyNumberFormat="1" applyFill="1">
      <alignment horizontal="left" vertical="center" wrapText="1"/>
    </xf>
    <xf numFmtId="170" fontId="5" fillId="15" borderId="1" xfId="0" applyNumberFormat="1" applyFont="1" applyFill="1" applyBorder="1" applyAlignment="1">
      <alignment horizontal="right" vertical="center" wrapText="1"/>
    </xf>
    <xf numFmtId="4" fontId="5" fillId="15" borderId="1" xfId="0" applyNumberFormat="1" applyFont="1" applyFill="1" applyBorder="1" applyAlignment="1">
      <alignment horizontal="right" vertical="center" wrapText="1"/>
    </xf>
    <xf numFmtId="0" fontId="5" fillId="15" borderId="1" xfId="0" applyFont="1" applyFill="1" applyBorder="1" applyAlignment="1">
      <alignment horizontal="left" vertical="center" wrapText="1"/>
    </xf>
    <xf numFmtId="168" fontId="5" fillId="15" borderId="1" xfId="27" applyNumberFormat="1" applyFont="1" applyFill="1" applyBorder="1" applyAlignment="1">
      <alignment horizontal="center" vertical="center" wrapText="1"/>
    </xf>
    <xf numFmtId="172" fontId="5" fillId="15" borderId="1" xfId="0" applyNumberFormat="1" applyFont="1" applyFill="1" applyBorder="1" applyAlignment="1">
      <alignment horizontal="right" vertical="center" wrapText="1"/>
    </xf>
    <xf numFmtId="43" fontId="5" fillId="15" borderId="1" xfId="0" applyNumberFormat="1" applyFont="1" applyFill="1" applyBorder="1" applyAlignment="1">
      <alignment horizontal="right" vertical="center" wrapText="1"/>
    </xf>
    <xf numFmtId="43" fontId="6" fillId="15" borderId="1" xfId="27" applyFont="1" applyFill="1" applyBorder="1" applyAlignment="1">
      <alignment horizontal="right" vertical="center" wrapText="1"/>
    </xf>
    <xf numFmtId="172" fontId="6" fillId="15" borderId="1" xfId="27" applyNumberFormat="1" applyFont="1" applyFill="1" applyBorder="1" applyAlignment="1">
      <alignment horizontal="right" vertical="center" wrapText="1"/>
    </xf>
    <xf numFmtId="0" fontId="2" fillId="15" borderId="0" xfId="0" applyFont="1" applyFill="1" applyBorder="1" applyAlignment="1">
      <alignment horizontal="center" vertical="center" wrapText="1"/>
    </xf>
    <xf numFmtId="170" fontId="5" fillId="15" borderId="1" xfId="0" applyNumberFormat="1" applyFont="1" applyFill="1" applyBorder="1" applyAlignment="1">
      <alignment horizontal="right" wrapText="1"/>
    </xf>
    <xf numFmtId="165" fontId="5" fillId="15" borderId="1" xfId="0" applyNumberFormat="1" applyFont="1" applyFill="1" applyBorder="1" applyAlignment="1">
      <alignment horizontal="right" vertical="center" wrapText="1"/>
    </xf>
    <xf numFmtId="165" fontId="5" fillId="15" borderId="1" xfId="27" applyNumberFormat="1" applyFont="1" applyFill="1" applyBorder="1" applyAlignment="1">
      <alignment horizontal="right" vertical="center" wrapText="1"/>
    </xf>
    <xf numFmtId="164" fontId="5" fillId="15" borderId="1" xfId="0" applyNumberFormat="1" applyFont="1" applyFill="1" applyBorder="1" applyAlignment="1">
      <alignment horizontal="right" vertical="center"/>
    </xf>
    <xf numFmtId="43" fontId="5" fillId="15" borderId="1" xfId="27" applyFont="1" applyFill="1" applyBorder="1" applyAlignment="1">
      <alignment horizontal="right" vertical="center" wrapText="1"/>
    </xf>
    <xf numFmtId="170" fontId="5" fillId="15" borderId="1" xfId="0" applyNumberFormat="1" applyFont="1" applyFill="1" applyBorder="1" applyAlignment="1">
      <alignment horizontal="right"/>
    </xf>
    <xf numFmtId="0" fontId="5" fillId="15" borderId="1" xfId="0" applyFont="1" applyFill="1" applyBorder="1" applyAlignment="1">
      <alignment wrapText="1"/>
    </xf>
    <xf numFmtId="3" fontId="5" fillId="15" borderId="1" xfId="0" applyNumberFormat="1" applyFont="1" applyFill="1" applyBorder="1" applyAlignment="1">
      <alignment horizontal="center"/>
    </xf>
    <xf numFmtId="4" fontId="5" fillId="15" borderId="1" xfId="0" applyNumberFormat="1" applyFont="1" applyFill="1" applyBorder="1" applyAlignment="1"/>
    <xf numFmtId="43" fontId="5" fillId="15" borderId="1" xfId="0" applyNumberFormat="1" applyFont="1" applyFill="1" applyBorder="1" applyAlignment="1">
      <alignment horizontal="right"/>
    </xf>
    <xf numFmtId="3" fontId="5" fillId="15" borderId="1" xfId="0" applyNumberFormat="1" applyFont="1" applyFill="1" applyBorder="1" applyAlignment="1">
      <alignment horizontal="center" vertical="center"/>
    </xf>
    <xf numFmtId="170" fontId="5" fillId="15" borderId="1" xfId="1" applyNumberFormat="1" applyFont="1" applyFill="1" applyBorder="1" applyAlignment="1" applyProtection="1">
      <alignment horizontal="right"/>
    </xf>
    <xf numFmtId="0" fontId="5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right" vertical="center" wrapText="1"/>
    </xf>
    <xf numFmtId="170" fontId="5" fillId="15" borderId="1" xfId="27" applyNumberFormat="1" applyFont="1" applyFill="1" applyBorder="1" applyAlignment="1">
      <alignment horizontal="right" vertical="center"/>
    </xf>
    <xf numFmtId="43" fontId="5" fillId="15" borderId="1" xfId="27" applyNumberFormat="1" applyFont="1" applyFill="1" applyBorder="1" applyAlignment="1">
      <alignment horizontal="right" vertical="center" wrapText="1"/>
    </xf>
    <xf numFmtId="164" fontId="5" fillId="15" borderId="1" xfId="0" applyNumberFormat="1" applyFont="1" applyFill="1" applyBorder="1" applyAlignment="1">
      <alignment horizontal="right"/>
    </xf>
    <xf numFmtId="0" fontId="5" fillId="15" borderId="1" xfId="0" applyFont="1" applyFill="1" applyBorder="1">
      <alignment horizontal="left" vertical="center" wrapText="1"/>
    </xf>
    <xf numFmtId="172" fontId="5" fillId="15" borderId="1" xfId="27" applyNumberFormat="1" applyFont="1" applyFill="1" applyBorder="1" applyAlignment="1">
      <alignment horizontal="right" vertical="center" wrapText="1"/>
    </xf>
    <xf numFmtId="166" fontId="5" fillId="15" borderId="1" xfId="27" applyNumberFormat="1" applyFont="1" applyFill="1" applyBorder="1" applyAlignment="1">
      <alignment horizontal="right" vertical="center" wrapText="1"/>
    </xf>
    <xf numFmtId="0" fontId="5" fillId="15" borderId="1" xfId="0" applyNumberFormat="1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left" vertical="center"/>
    </xf>
    <xf numFmtId="0" fontId="31" fillId="15" borderId="1" xfId="0" applyFont="1" applyFill="1" applyBorder="1" applyAlignment="1">
      <alignment horizontal="center" vertical="center"/>
    </xf>
    <xf numFmtId="0" fontId="5" fillId="15" borderId="1" xfId="20" applyFont="1" applyFill="1" applyBorder="1" applyAlignment="1">
      <alignment horizontal="left" vertical="center" wrapText="1"/>
    </xf>
    <xf numFmtId="170" fontId="5" fillId="15" borderId="1" xfId="0" applyNumberFormat="1" applyFont="1" applyFill="1" applyBorder="1" applyAlignment="1">
      <alignment horizontal="right" vertical="center"/>
    </xf>
    <xf numFmtId="4" fontId="5" fillId="15" borderId="1" xfId="0" applyNumberFormat="1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right" vertical="center"/>
    </xf>
    <xf numFmtId="43" fontId="5" fillId="15" borderId="1" xfId="27" applyFont="1" applyFill="1" applyBorder="1" applyAlignment="1">
      <alignment horizontal="right" vertical="center"/>
    </xf>
    <xf numFmtId="0" fontId="5" fillId="15" borderId="1" xfId="21" applyFont="1" applyFill="1" applyBorder="1" applyAlignment="1">
      <alignment horizontal="left" vertical="top" wrapText="1"/>
    </xf>
    <xf numFmtId="0" fontId="5" fillId="15" borderId="1" xfId="21" applyFont="1" applyFill="1" applyBorder="1" applyAlignment="1">
      <alignment horizontal="center" vertical="center" wrapText="1"/>
    </xf>
    <xf numFmtId="4" fontId="5" fillId="15" borderId="1" xfId="21" applyNumberFormat="1" applyFont="1" applyFill="1" applyBorder="1" applyAlignment="1">
      <alignment horizontal="right" vertical="center" wrapText="1"/>
    </xf>
    <xf numFmtId="43" fontId="5" fillId="15" borderId="1" xfId="27" applyNumberFormat="1" applyFont="1" applyFill="1" applyBorder="1" applyAlignment="1">
      <alignment horizontal="center" vertical="center" wrapText="1"/>
    </xf>
    <xf numFmtId="0" fontId="5" fillId="15" borderId="1" xfId="21" applyFont="1" applyFill="1" applyBorder="1" applyAlignment="1">
      <alignment horizontal="left" vertical="center" wrapText="1"/>
    </xf>
    <xf numFmtId="172" fontId="6" fillId="15" borderId="1" xfId="21" applyNumberFormat="1" applyFont="1" applyFill="1" applyBorder="1" applyAlignment="1">
      <alignment horizontal="right" vertical="center" wrapText="1"/>
    </xf>
    <xf numFmtId="4" fontId="6" fillId="15" borderId="1" xfId="21" applyNumberFormat="1" applyFont="1" applyFill="1" applyBorder="1" applyAlignment="1">
      <alignment horizontal="right" vertical="center" wrapText="1"/>
    </xf>
    <xf numFmtId="0" fontId="30" fillId="15" borderId="1" xfId="0" applyFont="1" applyFill="1" applyBorder="1" applyAlignment="1">
      <alignment horizontal="center" vertical="center"/>
    </xf>
    <xf numFmtId="0" fontId="31" fillId="15" borderId="1" xfId="0" applyFont="1" applyFill="1" applyBorder="1" applyAlignment="1">
      <alignment vertical="center"/>
    </xf>
    <xf numFmtId="0" fontId="31" fillId="15" borderId="1" xfId="0" applyFont="1" applyFill="1" applyBorder="1" applyAlignment="1">
      <alignment horizontal="center" vertical="center" wrapText="1"/>
    </xf>
    <xf numFmtId="0" fontId="31" fillId="15" borderId="1" xfId="0" applyNumberFormat="1" applyFont="1" applyFill="1" applyBorder="1" applyAlignment="1">
      <alignment horizontal="right" vertical="center"/>
    </xf>
    <xf numFmtId="170" fontId="31" fillId="15" borderId="1" xfId="0" applyNumberFormat="1" applyFont="1" applyFill="1" applyBorder="1" applyAlignment="1">
      <alignment horizontal="right" vertical="center"/>
    </xf>
    <xf numFmtId="4" fontId="31" fillId="15" borderId="1" xfId="0" applyNumberFormat="1" applyFont="1" applyFill="1" applyBorder="1" applyAlignment="1">
      <alignment horizontal="right" vertical="center" wrapText="1"/>
    </xf>
    <xf numFmtId="43" fontId="31" fillId="15" borderId="1" xfId="0" applyNumberFormat="1" applyFont="1" applyFill="1" applyBorder="1" applyAlignment="1">
      <alignment horizontal="right" vertical="center" wrapText="1"/>
    </xf>
    <xf numFmtId="0" fontId="31" fillId="15" borderId="1" xfId="0" applyFont="1" applyFill="1" applyBorder="1" applyAlignment="1">
      <alignment vertical="center" wrapText="1"/>
    </xf>
    <xf numFmtId="171" fontId="31" fillId="15" borderId="1" xfId="0" applyNumberFormat="1" applyFont="1" applyFill="1" applyBorder="1" applyAlignment="1">
      <alignment horizontal="right" vertical="center"/>
    </xf>
    <xf numFmtId="0" fontId="30" fillId="15" borderId="1" xfId="0" applyFont="1" applyFill="1" applyBorder="1" applyAlignment="1">
      <alignment horizontal="right" vertical="center"/>
    </xf>
    <xf numFmtId="43" fontId="31" fillId="15" borderId="1" xfId="27" applyNumberFormat="1" applyFont="1" applyFill="1" applyBorder="1" applyAlignment="1">
      <alignment horizontal="right" vertical="center" wrapText="1"/>
    </xf>
    <xf numFmtId="0" fontId="31" fillId="15" borderId="1" xfId="0" applyFont="1" applyFill="1" applyBorder="1" applyAlignment="1">
      <alignment wrapText="1"/>
    </xf>
    <xf numFmtId="4" fontId="30" fillId="15" borderId="1" xfId="0" applyNumberFormat="1" applyFont="1" applyFill="1" applyBorder="1" applyAlignment="1">
      <alignment horizontal="right" vertical="center"/>
    </xf>
    <xf numFmtId="43" fontId="5" fillId="15" borderId="1" xfId="27" applyFont="1" applyFill="1" applyBorder="1" applyAlignment="1">
      <alignment horizontal="left" vertical="center" wrapText="1"/>
    </xf>
    <xf numFmtId="43" fontId="5" fillId="15" borderId="1" xfId="27" applyFont="1" applyFill="1" applyBorder="1" applyAlignment="1">
      <alignment horizontal="center" vertical="center" wrapText="1"/>
    </xf>
    <xf numFmtId="43" fontId="5" fillId="15" borderId="1" xfId="27" applyFont="1" applyFill="1" applyBorder="1" applyAlignment="1"/>
    <xf numFmtId="0" fontId="31" fillId="15" borderId="1" xfId="0" applyFont="1" applyFill="1" applyBorder="1" applyAlignment="1">
      <alignment horizontal="left" vertical="center"/>
    </xf>
    <xf numFmtId="0" fontId="31" fillId="15" borderId="1" xfId="0" applyFont="1" applyFill="1" applyBorder="1" applyAlignment="1">
      <alignment horizontal="right" vertical="center" wrapText="1"/>
    </xf>
    <xf numFmtId="172" fontId="31" fillId="15" borderId="1" xfId="27" applyNumberFormat="1" applyFont="1" applyFill="1" applyBorder="1" applyAlignment="1">
      <alignment horizontal="right" vertical="center" wrapText="1"/>
    </xf>
    <xf numFmtId="172" fontId="5" fillId="15" borderId="1" xfId="27" applyNumberFormat="1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/>
    </xf>
    <xf numFmtId="0" fontId="5" fillId="15" borderId="1" xfId="0" applyFont="1" applyFill="1" applyBorder="1" applyAlignment="1"/>
    <xf numFmtId="43" fontId="5" fillId="15" borderId="1" xfId="27" applyFont="1" applyFill="1" applyBorder="1" applyAlignment="1">
      <alignment horizontal="right"/>
    </xf>
    <xf numFmtId="4" fontId="5" fillId="15" borderId="1" xfId="0" applyNumberFormat="1" applyFont="1" applyFill="1" applyBorder="1" applyAlignment="1">
      <alignment horizontal="right"/>
    </xf>
    <xf numFmtId="0" fontId="9" fillId="15" borderId="1" xfId="0" applyFont="1" applyFill="1" applyBorder="1" applyAlignment="1">
      <alignment vertical="center"/>
    </xf>
    <xf numFmtId="0" fontId="9" fillId="15" borderId="1" xfId="0" applyFont="1" applyFill="1" applyBorder="1" applyAlignment="1">
      <alignment horizontal="center" vertical="center" wrapText="1"/>
    </xf>
    <xf numFmtId="170" fontId="9" fillId="15" borderId="1" xfId="0" applyNumberFormat="1" applyFont="1" applyFill="1" applyBorder="1" applyAlignment="1">
      <alignment horizontal="right" vertical="center"/>
    </xf>
    <xf numFmtId="4" fontId="9" fillId="15" borderId="1" xfId="0" applyNumberFormat="1" applyFont="1" applyFill="1" applyBorder="1" applyAlignment="1">
      <alignment horizontal="right" vertical="center" wrapText="1"/>
    </xf>
    <xf numFmtId="43" fontId="9" fillId="15" borderId="1" xfId="0" applyNumberFormat="1" applyFont="1" applyFill="1" applyBorder="1" applyAlignment="1">
      <alignment horizontal="right" vertical="center" wrapText="1"/>
    </xf>
    <xf numFmtId="4" fontId="31" fillId="15" borderId="1" xfId="0" applyNumberFormat="1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center" wrapText="1"/>
    </xf>
    <xf numFmtId="172" fontId="5" fillId="15" borderId="1" xfId="27" applyNumberFormat="1" applyFont="1" applyFill="1" applyBorder="1" applyAlignment="1">
      <alignment horizontal="right" wrapText="1"/>
    </xf>
    <xf numFmtId="4" fontId="5" fillId="15" borderId="1" xfId="0" applyNumberFormat="1" applyFont="1" applyFill="1" applyBorder="1" applyAlignment="1">
      <alignment wrapText="1"/>
    </xf>
    <xf numFmtId="171" fontId="5" fillId="15" borderId="1" xfId="0" applyNumberFormat="1" applyFont="1" applyFill="1" applyBorder="1" applyAlignment="1">
      <alignment horizontal="right" wrapText="1"/>
    </xf>
    <xf numFmtId="0" fontId="5" fillId="15" borderId="1" xfId="0" applyFont="1" applyFill="1" applyBorder="1" applyAlignment="1">
      <alignment horizontal="right" wrapText="1"/>
    </xf>
    <xf numFmtId="0" fontId="30" fillId="15" borderId="1" xfId="0" applyFont="1" applyFill="1" applyBorder="1" applyAlignment="1">
      <alignment horizontal="center" vertical="center" wrapText="1"/>
    </xf>
    <xf numFmtId="172" fontId="30" fillId="15" borderId="1" xfId="27" applyNumberFormat="1" applyFont="1" applyFill="1" applyBorder="1" applyAlignment="1">
      <alignment horizontal="right" vertical="center" wrapText="1"/>
    </xf>
    <xf numFmtId="43" fontId="30" fillId="15" borderId="1" xfId="27" applyFont="1" applyFill="1" applyBorder="1" applyAlignment="1">
      <alignment horizontal="right" vertical="center" wrapText="1"/>
    </xf>
    <xf numFmtId="0" fontId="5" fillId="15" borderId="0" xfId="0" applyFont="1" applyFill="1" applyBorder="1" applyAlignment="1">
      <alignment horizontal="left" wrapText="1"/>
    </xf>
    <xf numFmtId="43" fontId="5" fillId="15" borderId="0" xfId="0" applyNumberFormat="1" applyFont="1" applyFill="1" applyBorder="1" applyAlignment="1">
      <alignment horizontal="left" wrapText="1"/>
    </xf>
    <xf numFmtId="49" fontId="5" fillId="15" borderId="0" xfId="0" applyNumberFormat="1" applyFont="1" applyFill="1" applyAlignment="1">
      <alignment vertical="center" wrapText="1"/>
    </xf>
    <xf numFmtId="43" fontId="5" fillId="15" borderId="0" xfId="27" applyFont="1" applyFill="1">
      <alignment horizontal="left" vertical="center" wrapText="1"/>
    </xf>
    <xf numFmtId="43" fontId="5" fillId="15" borderId="0" xfId="0" applyNumberFormat="1" applyFont="1" applyFill="1" applyAlignment="1">
      <alignment horizontal="right" vertical="center" wrapText="1"/>
    </xf>
    <xf numFmtId="0" fontId="32" fillId="15" borderId="0" xfId="0" applyFont="1" applyFill="1" applyAlignment="1">
      <alignment horizontal="right" vertical="center" wrapText="1"/>
    </xf>
    <xf numFmtId="43" fontId="1" fillId="15" borderId="0" xfId="27" applyNumberFormat="1" applyFont="1" applyFill="1">
      <alignment horizontal="left" vertical="center" wrapText="1"/>
    </xf>
    <xf numFmtId="0" fontId="0" fillId="15" borderId="11" xfId="0" applyFill="1" applyBorder="1">
      <alignment horizontal="left" vertical="center" wrapText="1"/>
    </xf>
    <xf numFmtId="49" fontId="5" fillId="15" borderId="11" xfId="0" applyNumberFormat="1" applyFont="1" applyFill="1" applyBorder="1" applyAlignment="1">
      <alignment vertical="center" wrapText="1"/>
    </xf>
    <xf numFmtId="49" fontId="5" fillId="15" borderId="11" xfId="0" applyNumberFormat="1" applyFont="1" applyFill="1" applyBorder="1">
      <alignment horizontal="left" vertical="center" wrapText="1"/>
    </xf>
    <xf numFmtId="49" fontId="5" fillId="15" borderId="0" xfId="0" applyNumberFormat="1" applyFont="1" applyFill="1" applyBorder="1" applyAlignment="1">
      <alignment vertical="center" wrapText="1"/>
    </xf>
    <xf numFmtId="49" fontId="5" fillId="15" borderId="0" xfId="0" applyNumberFormat="1" applyFont="1" applyFill="1" applyBorder="1">
      <alignment horizontal="left" vertical="center" wrapText="1"/>
    </xf>
    <xf numFmtId="0" fontId="0" fillId="15" borderId="0" xfId="0" applyFill="1" applyBorder="1">
      <alignment horizontal="left" vertical="center" wrapText="1"/>
    </xf>
    <xf numFmtId="0" fontId="0" fillId="15" borderId="0" xfId="0" applyFill="1" applyBorder="1" applyAlignment="1">
      <alignment horizontal="center" vertical="center" wrapText="1"/>
    </xf>
    <xf numFmtId="43" fontId="1" fillId="15" borderId="0" xfId="27" applyNumberFormat="1" applyFont="1" applyFill="1" applyBorder="1">
      <alignment horizontal="left" vertical="center" wrapText="1"/>
    </xf>
    <xf numFmtId="43" fontId="0" fillId="15" borderId="0" xfId="0" applyNumberFormat="1" applyFill="1" applyBorder="1">
      <alignment horizontal="left" vertical="center" wrapText="1"/>
    </xf>
    <xf numFmtId="0" fontId="0" fillId="15" borderId="1" xfId="0" applyFill="1" applyBorder="1">
      <alignment horizontal="left" vertical="center" wrapText="1"/>
    </xf>
    <xf numFmtId="0" fontId="5" fillId="15" borderId="1" xfId="27" applyNumberFormat="1" applyFont="1" applyFill="1" applyBorder="1" applyAlignment="1">
      <alignment horizontal="center" vertical="center" wrapText="1"/>
    </xf>
    <xf numFmtId="0" fontId="0" fillId="15" borderId="1" xfId="0" applyFont="1" applyFill="1" applyBorder="1">
      <alignment horizontal="left" vertical="center" wrapText="1"/>
    </xf>
    <xf numFmtId="0" fontId="2" fillId="15" borderId="1" xfId="0" applyFont="1" applyFill="1" applyBorder="1" applyAlignment="1">
      <alignment horizontal="center" vertical="center" wrapText="1"/>
    </xf>
    <xf numFmtId="170" fontId="5" fillId="15" borderId="1" xfId="0" applyNumberFormat="1" applyFont="1" applyFill="1" applyBorder="1" applyAlignment="1"/>
    <xf numFmtId="43" fontId="5" fillId="15" borderId="1" xfId="27" applyFont="1" applyFill="1" applyBorder="1" applyAlignment="1">
      <alignment vertical="center" wrapText="1"/>
    </xf>
    <xf numFmtId="170" fontId="5" fillId="15" borderId="1" xfId="27" applyNumberFormat="1" applyFont="1" applyFill="1" applyBorder="1" applyAlignment="1">
      <alignment horizontal="right" vertical="center" wrapText="1"/>
    </xf>
    <xf numFmtId="43" fontId="29" fillId="15" borderId="1" xfId="27" applyFont="1" applyFill="1" applyBorder="1" applyAlignment="1">
      <alignment horizontal="right" vertical="center"/>
    </xf>
    <xf numFmtId="43" fontId="29" fillId="15" borderId="1" xfId="27" applyNumberFormat="1" applyFont="1" applyFill="1" applyBorder="1" applyAlignment="1">
      <alignment horizontal="right" vertical="center"/>
    </xf>
    <xf numFmtId="169" fontId="5" fillId="15" borderId="1" xfId="27" applyNumberFormat="1" applyFont="1" applyFill="1" applyBorder="1" applyAlignment="1">
      <alignment horizontal="right" vertical="center" wrapText="1"/>
    </xf>
    <xf numFmtId="43" fontId="5" fillId="15" borderId="1" xfId="20" applyNumberFormat="1" applyFont="1" applyFill="1" applyBorder="1" applyAlignment="1">
      <alignment horizontal="right" vertical="center" wrapText="1"/>
    </xf>
    <xf numFmtId="1" fontId="5" fillId="15" borderId="1" xfId="19" applyNumberFormat="1" applyFont="1" applyFill="1" applyBorder="1" applyAlignment="1">
      <alignment horizontal="center" vertical="center" wrapText="1"/>
    </xf>
    <xf numFmtId="170" fontId="5" fillId="15" borderId="1" xfId="20" applyNumberFormat="1" applyFont="1" applyFill="1" applyBorder="1" applyAlignment="1">
      <alignment horizontal="right" vertical="center" wrapText="1"/>
    </xf>
    <xf numFmtId="171" fontId="5" fillId="15" borderId="1" xfId="0" applyNumberFormat="1" applyFont="1" applyFill="1" applyBorder="1" applyAlignment="1">
      <alignment horizontal="right" vertical="center" wrapText="1"/>
    </xf>
    <xf numFmtId="171" fontId="31" fillId="15" borderId="1" xfId="27" applyNumberFormat="1" applyFont="1" applyFill="1" applyBorder="1" applyAlignment="1">
      <alignment horizontal="right" vertical="center"/>
    </xf>
    <xf numFmtId="43" fontId="5" fillId="15" borderId="1" xfId="21" applyNumberFormat="1" applyFont="1" applyFill="1" applyBorder="1" applyAlignment="1">
      <alignment horizontal="right" vertical="center" wrapText="1"/>
    </xf>
    <xf numFmtId="43" fontId="5" fillId="15" borderId="1" xfId="0" applyNumberFormat="1" applyFont="1" applyFill="1" applyBorder="1" applyAlignment="1">
      <alignment horizontal="center" vertical="center" wrapText="1"/>
    </xf>
    <xf numFmtId="168" fontId="6" fillId="15" borderId="1" xfId="27" applyNumberFormat="1" applyFont="1" applyFill="1" applyBorder="1" applyAlignment="1">
      <alignment horizontal="right" vertical="center" wrapText="1"/>
    </xf>
    <xf numFmtId="170" fontId="5" fillId="15" borderId="1" xfId="27" applyNumberFormat="1" applyFont="1" applyFill="1" applyBorder="1" applyAlignment="1"/>
    <xf numFmtId="170" fontId="6" fillId="15" borderId="1" xfId="27" applyNumberFormat="1" applyFont="1" applyFill="1" applyBorder="1" applyAlignment="1">
      <alignment horizontal="right" vertical="center" wrapText="1"/>
    </xf>
    <xf numFmtId="4" fontId="6" fillId="15" borderId="1" xfId="27" applyNumberFormat="1" applyFont="1" applyFill="1" applyBorder="1" applyAlignment="1">
      <alignment horizontal="right" vertical="center" wrapText="1"/>
    </xf>
    <xf numFmtId="2" fontId="5" fillId="15" borderId="1" xfId="0" applyNumberFormat="1" applyFont="1" applyFill="1" applyBorder="1" applyAlignment="1">
      <alignment horizontal="right" wrapText="1"/>
    </xf>
    <xf numFmtId="43" fontId="30" fillId="15" borderId="1" xfId="27" applyNumberFormat="1" applyFont="1" applyFill="1" applyBorder="1" applyAlignment="1">
      <alignment horizontal="right" vertical="center" wrapText="1"/>
    </xf>
    <xf numFmtId="1" fontId="0" fillId="15" borderId="0" xfId="0" applyNumberFormat="1" applyFill="1" applyAlignment="1">
      <alignment horizontal="center" vertical="top" wrapText="1"/>
    </xf>
    <xf numFmtId="1" fontId="0" fillId="15" borderId="0" xfId="0" applyNumberFormat="1" applyFill="1" applyAlignment="1">
      <alignment horizontal="center" vertical="center" wrapText="1"/>
    </xf>
    <xf numFmtId="1" fontId="5" fillId="15" borderId="0" xfId="0" applyNumberFormat="1" applyFont="1" applyFill="1" applyAlignment="1">
      <alignment horizontal="center" vertical="center" wrapText="1"/>
    </xf>
    <xf numFmtId="1" fontId="36" fillId="15" borderId="0" xfId="0" applyNumberFormat="1" applyFont="1" applyFill="1" applyAlignment="1">
      <alignment horizontal="center" vertical="center" wrapText="1"/>
    </xf>
    <xf numFmtId="1" fontId="3" fillId="15" borderId="0" xfId="0" applyNumberFormat="1" applyFont="1" applyFill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vertical="center" wrapText="1"/>
    </xf>
    <xf numFmtId="1" fontId="5" fillId="15" borderId="1" xfId="27" applyNumberFormat="1" applyFont="1" applyFill="1" applyBorder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/>
    </xf>
    <xf numFmtId="1" fontId="5" fillId="15" borderId="1" xfId="0" applyNumberFormat="1" applyFont="1" applyFill="1" applyBorder="1" applyAlignment="1">
      <alignment horizontal="center" vertical="center"/>
    </xf>
    <xf numFmtId="1" fontId="6" fillId="15" borderId="1" xfId="0" applyNumberFormat="1" applyFont="1" applyFill="1" applyBorder="1" applyAlignment="1">
      <alignment horizontal="center" vertical="center" wrapText="1"/>
    </xf>
    <xf numFmtId="1" fontId="5" fillId="15" borderId="1" xfId="20" applyNumberFormat="1" applyFont="1" applyFill="1" applyBorder="1" applyAlignment="1">
      <alignment horizontal="center" vertical="center" wrapText="1"/>
    </xf>
    <xf numFmtId="1" fontId="5" fillId="15" borderId="1" xfId="21" applyNumberFormat="1" applyFont="1" applyFill="1" applyBorder="1" applyAlignment="1">
      <alignment horizontal="center" vertical="center" wrapText="1"/>
    </xf>
    <xf numFmtId="1" fontId="31" fillId="15" borderId="1" xfId="0" applyNumberFormat="1" applyFont="1" applyFill="1" applyBorder="1" applyAlignment="1">
      <alignment horizontal="center" vertical="center" wrapText="1"/>
    </xf>
    <xf numFmtId="1" fontId="9" fillId="15" borderId="1" xfId="0" applyNumberFormat="1" applyFont="1" applyFill="1" applyBorder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wrapText="1"/>
    </xf>
    <xf numFmtId="1" fontId="30" fillId="15" borderId="1" xfId="0" applyNumberFormat="1" applyFont="1" applyFill="1" applyBorder="1" applyAlignment="1">
      <alignment horizontal="center" vertical="center" wrapText="1"/>
    </xf>
    <xf numFmtId="1" fontId="0" fillId="15" borderId="0" xfId="0" applyNumberFormat="1" applyFill="1" applyBorder="1" applyAlignment="1">
      <alignment horizontal="center" vertical="center" wrapText="1"/>
    </xf>
    <xf numFmtId="1" fontId="5" fillId="15" borderId="0" xfId="0" applyNumberFormat="1" applyFont="1" applyFill="1" applyAlignment="1">
      <alignment horizontal="left" vertical="center" wrapText="1"/>
    </xf>
    <xf numFmtId="173" fontId="5" fillId="15" borderId="1" xfId="27" applyNumberFormat="1" applyFont="1" applyFill="1" applyBorder="1" applyAlignment="1">
      <alignment horizontal="right"/>
    </xf>
    <xf numFmtId="0" fontId="5" fillId="15" borderId="1" xfId="0" applyFont="1" applyFill="1" applyBorder="1" applyAlignment="1">
      <alignment horizontal="center" vertical="center" textRotation="90" wrapText="1"/>
    </xf>
    <xf numFmtId="0" fontId="6" fillId="15" borderId="1" xfId="0" applyFont="1" applyFill="1" applyBorder="1" applyAlignment="1">
      <alignment horizontal="center" vertical="center" wrapText="1"/>
    </xf>
    <xf numFmtId="0" fontId="36" fillId="15" borderId="0" xfId="0" applyFont="1" applyFill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43" fontId="5" fillId="15" borderId="1" xfId="27" applyNumberFormat="1" applyFont="1" applyFill="1" applyBorder="1" applyAlignment="1">
      <alignment horizontal="center" vertical="center" textRotation="90" wrapText="1"/>
    </xf>
    <xf numFmtId="0" fontId="5" fillId="15" borderId="0" xfId="0" applyFont="1" applyFill="1" applyAlignment="1">
      <alignment horizontal="left" vertical="center" wrapText="1"/>
    </xf>
    <xf numFmtId="49" fontId="5" fillId="15" borderId="0" xfId="0" applyNumberFormat="1" applyFont="1" applyFill="1" applyAlignment="1">
      <alignment horizontal="left" vertical="center" wrapText="1"/>
    </xf>
    <xf numFmtId="4" fontId="5" fillId="15" borderId="1" xfId="0" applyNumberFormat="1" applyFont="1" applyFill="1" applyBorder="1" applyAlignment="1">
      <alignment vertical="center"/>
    </xf>
    <xf numFmtId="4" fontId="6" fillId="15" borderId="1" xfId="0" applyNumberFormat="1" applyFont="1" applyFill="1" applyBorder="1" applyAlignment="1">
      <alignment vertical="center"/>
    </xf>
    <xf numFmtId="4" fontId="5" fillId="15" borderId="1" xfId="27" applyNumberFormat="1" applyFont="1" applyFill="1" applyBorder="1" applyAlignment="1">
      <alignment horizontal="right" vertical="center" wrapText="1"/>
    </xf>
    <xf numFmtId="43" fontId="5" fillId="15" borderId="1" xfId="28" applyNumberFormat="1" applyFont="1" applyFill="1" applyBorder="1" applyAlignment="1">
      <alignment horizontal="right" vertical="center" wrapText="1"/>
    </xf>
    <xf numFmtId="43" fontId="0" fillId="15" borderId="1" xfId="27" applyNumberFormat="1" applyFont="1" applyFill="1" applyBorder="1" applyAlignment="1">
      <alignment horizontal="right" vertical="center" wrapText="1"/>
    </xf>
    <xf numFmtId="4" fontId="5" fillId="15" borderId="1" xfId="27" applyNumberFormat="1" applyFont="1" applyFill="1" applyBorder="1" applyAlignment="1">
      <alignment vertical="center"/>
    </xf>
    <xf numFmtId="4" fontId="31" fillId="15" borderId="1" xfId="27" applyNumberFormat="1" applyFont="1" applyFill="1" applyBorder="1" applyAlignment="1">
      <alignment horizontal="right" vertical="center" wrapText="1"/>
    </xf>
    <xf numFmtId="0" fontId="0" fillId="15" borderId="1" xfId="0" applyFont="1" applyFill="1" applyBorder="1" applyAlignment="1">
      <alignment horizontal="center" vertical="center" wrapText="1"/>
    </xf>
    <xf numFmtId="0" fontId="0" fillId="16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5" fillId="15" borderId="0" xfId="0" applyFont="1" applyFill="1" applyBorder="1" applyAlignment="1">
      <alignment horizontal="left" vertical="center" wrapText="1"/>
    </xf>
    <xf numFmtId="0" fontId="5" fillId="15" borderId="0" xfId="0" applyFont="1" applyFill="1" applyAlignment="1">
      <alignment horizontal="left" vertical="center" wrapText="1"/>
    </xf>
    <xf numFmtId="49" fontId="5" fillId="15" borderId="0" xfId="0" applyNumberFormat="1" applyFont="1" applyFill="1" applyAlignment="1">
      <alignment horizontal="left" vertical="center" wrapText="1"/>
    </xf>
    <xf numFmtId="0" fontId="6" fillId="15" borderId="1" xfId="0" applyFont="1" applyFill="1" applyBorder="1" applyAlignment="1">
      <alignment horizontal="left" vertical="center" wrapText="1"/>
    </xf>
    <xf numFmtId="0" fontId="5" fillId="15" borderId="0" xfId="0" applyNumberFormat="1" applyFont="1" applyFill="1" applyBorder="1" applyAlignment="1">
      <alignment horizontal="left" vertical="center" wrapText="1"/>
    </xf>
    <xf numFmtId="0" fontId="6" fillId="15" borderId="1" xfId="0" applyFont="1" applyFill="1" applyBorder="1" applyAlignment="1">
      <alignment horizontal="center" vertical="center" wrapText="1"/>
    </xf>
    <xf numFmtId="43" fontId="5" fillId="15" borderId="1" xfId="27" applyNumberFormat="1" applyFont="1" applyFill="1" applyBorder="1" applyAlignment="1">
      <alignment horizontal="center" vertical="center" textRotation="90" wrapText="1"/>
    </xf>
    <xf numFmtId="0" fontId="5" fillId="15" borderId="1" xfId="0" applyFont="1" applyFill="1" applyBorder="1" applyAlignment="1">
      <alignment horizontal="center" vertical="center" textRotation="90" wrapText="1"/>
    </xf>
    <xf numFmtId="0" fontId="7" fillId="15" borderId="0" xfId="0" applyFont="1" applyFill="1" applyAlignment="1">
      <alignment horizontal="left" vertical="top" wrapText="1"/>
    </xf>
    <xf numFmtId="0" fontId="7" fillId="15" borderId="0" xfId="0" applyFont="1" applyFill="1" applyAlignment="1">
      <alignment horizontal="left" wrapText="1"/>
    </xf>
    <xf numFmtId="0" fontId="4" fillId="15" borderId="0" xfId="0" applyFont="1" applyFill="1" applyAlignment="1">
      <alignment horizontal="right" vertical="top" wrapText="1"/>
    </xf>
    <xf numFmtId="0" fontId="36" fillId="15" borderId="0" xfId="0" applyFont="1" applyFill="1" applyAlignment="1">
      <alignment horizontal="center" vertical="center" wrapText="1"/>
    </xf>
    <xf numFmtId="0" fontId="37" fillId="15" borderId="0" xfId="0" applyFont="1" applyFill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vertical="center" textRotation="90" wrapText="1"/>
    </xf>
  </cellXfs>
  <cellStyles count="31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 customBuiltin="1"/>
    <cellStyle name="Обычный 2" xfId="19"/>
    <cellStyle name="Обычный 3" xfId="20"/>
    <cellStyle name="Обычный 4" xfId="30"/>
    <cellStyle name="Обычный_Краткосрочный план 2016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 customBuiltin="1"/>
    <cellStyle name="Финансовый 2" xfId="28"/>
    <cellStyle name="Хороший" xfId="2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2;&#1089;&#1077;%20&#1076;&#1086;&#1082;&#1091;&#1084;&#1077;&#1085;&#1090;&#1099;%20&#1089;&#1086;%20&#1089;&#1090;&#1072;&#1088;&#1086;&#1075;&#1086;%20&#1082;&#1086;&#1084;&#1087;&#1072;\&#1057;%20&#1088;&#1072;&#1073;&#1086;&#1095;&#1077;&#1075;&#1086;%20&#1089;&#1090;&#1086;&#1083;&#1072;\&#1050;&#1040;&#1055;&#1056;&#1045;&#1052;&#1054;&#1053;&#1058;\R01%20-%20&#1056;&#1077;&#1077;&#1089;&#1090;&#1088;%20&#1052;&#1050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ijelskaya\&#1056;&#1072;&#1073;&#1086;&#1095;&#1080;&#1081;%20&#1089;&#1090;&#1086;&#1083;\2016.04.28%20&#1055;&#1088;&#1080;&#1083;&#1086;&#1078;&#1077;&#1085;&#1080;&#1077;%201%20&#1082;%20&#1055;&#1055;&#1052;&#1054;%20&#1086;%20&#1050;&#1055;%20&#1085;&#1072;%202014-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01">
          <cell r="A201" t="str">
            <v>Засыпные с деревянным каркасом</v>
          </cell>
        </row>
        <row r="202">
          <cell r="A202" t="str">
            <v>Каркасно-сборный ж/б</v>
          </cell>
        </row>
        <row r="203">
          <cell r="A203" t="str">
            <v>Железобетонные с металлическим каркасом</v>
          </cell>
        </row>
        <row r="204">
          <cell r="A204" t="str">
            <v>Железобетонные с монолитным каркасом</v>
          </cell>
        </row>
        <row r="205">
          <cell r="A205" t="str">
            <v>Кирпичные со сборным ж/б каркасом</v>
          </cell>
        </row>
        <row r="206">
          <cell r="A206" t="str">
            <v>Кирпичные с металлическим каркасом</v>
          </cell>
        </row>
        <row r="207">
          <cell r="A207" t="str">
            <v>Кирпичные с монолитным каркасом</v>
          </cell>
        </row>
        <row r="208">
          <cell r="A208" t="str">
            <v>Крупноблочные со сборным ж/б каркасом</v>
          </cell>
        </row>
        <row r="209">
          <cell r="A209" t="str">
            <v>Крупноблочные с металлическим каркасом</v>
          </cell>
        </row>
        <row r="210">
          <cell r="A210" t="str">
            <v>Крупноблочные с монолитным каркасом</v>
          </cell>
        </row>
        <row r="211">
          <cell r="A211" t="str">
            <v>Кирпичные</v>
          </cell>
        </row>
        <row r="212">
          <cell r="A212" t="str">
            <v>Крупноблочные силикат</v>
          </cell>
        </row>
        <row r="213">
          <cell r="A213" t="str">
            <v>Крупноблочные ячеистый бетон</v>
          </cell>
        </row>
        <row r="214">
          <cell r="A214" t="str">
            <v>Крупноблочные пеноблоки</v>
          </cell>
        </row>
        <row r="215">
          <cell r="A215" t="str">
            <v>Крупноблочные газоблоки</v>
          </cell>
        </row>
        <row r="216">
          <cell r="A216" t="str">
            <v>Панельные</v>
          </cell>
        </row>
        <row r="217">
          <cell r="A217" t="str">
            <v>Монолитные</v>
          </cell>
        </row>
        <row r="218">
          <cell r="A218" t="str">
            <v>Каменные</v>
          </cell>
        </row>
        <row r="219">
          <cell r="A219" t="str">
            <v>Бревно (брус)</v>
          </cell>
        </row>
        <row r="220">
          <cell r="A220" t="str">
            <v>Шпалы</v>
          </cell>
        </row>
        <row r="221">
          <cell r="A221" t="str">
            <v>Деревянные щитовые</v>
          </cell>
        </row>
        <row r="222">
          <cell r="A222" t="str">
            <v>Комбинированные</v>
          </cell>
        </row>
        <row r="223">
          <cell r="A223" t="str">
            <v>Многослойные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14-2016"/>
      <sheetName val="Лист1"/>
    </sheetNames>
    <sheetDataSet>
      <sheetData sheetId="0">
        <row r="15">
          <cell r="D15">
            <v>337022.72000000003</v>
          </cell>
          <cell r="E15">
            <v>277764.50000000006</v>
          </cell>
          <cell r="F15">
            <v>192859517.36000004</v>
          </cell>
          <cell r="G15">
            <v>30668273.780000005</v>
          </cell>
          <cell r="H15">
            <v>0</v>
          </cell>
          <cell r="I15">
            <v>43178577.090000004</v>
          </cell>
          <cell r="J15">
            <v>108415669.49000001</v>
          </cell>
          <cell r="K15">
            <v>0</v>
          </cell>
          <cell r="L15">
            <v>591487</v>
          </cell>
          <cell r="M15">
            <v>0</v>
          </cell>
          <cell r="N15">
            <v>10005510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189313586.04000002</v>
          </cell>
          <cell r="V15">
            <v>3545931.32</v>
          </cell>
        </row>
        <row r="16">
          <cell r="D16">
            <v>364494.5</v>
          </cell>
          <cell r="E16">
            <v>331495.90000000002</v>
          </cell>
          <cell r="F16">
            <v>266265933.48000002</v>
          </cell>
          <cell r="G16">
            <v>75743992.920000002</v>
          </cell>
          <cell r="H16">
            <v>0</v>
          </cell>
          <cell r="I16">
            <v>24326300.420000002</v>
          </cell>
          <cell r="J16">
            <v>133410360.8</v>
          </cell>
          <cell r="K16">
            <v>0</v>
          </cell>
          <cell r="L16">
            <v>73252.14</v>
          </cell>
          <cell r="M16">
            <v>0</v>
          </cell>
          <cell r="N16">
            <v>31210026.57</v>
          </cell>
          <cell r="O16">
            <v>0</v>
          </cell>
          <cell r="P16">
            <v>402000.63</v>
          </cell>
          <cell r="Q16">
            <v>0</v>
          </cell>
          <cell r="R16">
            <v>1100000</v>
          </cell>
          <cell r="S16">
            <v>31384855.310000002</v>
          </cell>
          <cell r="T16">
            <v>0</v>
          </cell>
          <cell r="U16">
            <v>40297489.609999999</v>
          </cell>
          <cell r="V16">
            <v>194583588.56</v>
          </cell>
        </row>
        <row r="17">
          <cell r="D17">
            <v>950899.64000000036</v>
          </cell>
          <cell r="E17">
            <v>796609.70999999961</v>
          </cell>
          <cell r="F17">
            <v>1002172976.27</v>
          </cell>
          <cell r="G17">
            <v>261913435.71999997</v>
          </cell>
          <cell r="H17">
            <v>38339.837816193816</v>
          </cell>
          <cell r="I17">
            <v>32627372.220000003</v>
          </cell>
          <cell r="J17">
            <v>368349691.93999982</v>
          </cell>
          <cell r="K17">
            <v>18959.429802865216</v>
          </cell>
          <cell r="L17">
            <v>5641761.8999999994</v>
          </cell>
          <cell r="M17">
            <v>376.05645801518477</v>
          </cell>
          <cell r="N17">
            <v>326056034.45999998</v>
          </cell>
          <cell r="O17">
            <v>16033.505494885558</v>
          </cell>
          <cell r="P17">
            <v>2296276.5599999996</v>
          </cell>
          <cell r="Q17">
            <v>328.85739201298543</v>
          </cell>
          <cell r="R17">
            <v>5288403.4700000007</v>
          </cell>
          <cell r="S17">
            <v>7280678</v>
          </cell>
          <cell r="T17">
            <v>0</v>
          </cell>
          <cell r="U17">
            <v>19949434.739999998</v>
          </cell>
          <cell r="V17">
            <v>974942863.53000021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83"/>
  <sheetViews>
    <sheetView tabSelected="1" view="pageBreakPreview" topLeftCell="A6" zoomScale="70" zoomScaleNormal="62" zoomScaleSheetLayoutView="70" zoomScalePageLayoutView="64" workbookViewId="0">
      <pane xSplit="7" ySplit="13" topLeftCell="H648" activePane="bottomRight" state="frozen"/>
      <selection activeCell="A6" sqref="A6"/>
      <selection pane="topRight" activeCell="H6" sqref="H6"/>
      <selection pane="bottomLeft" activeCell="A19" sqref="A19"/>
      <selection pane="bottomRight" activeCell="A18" sqref="A18:W18"/>
    </sheetView>
  </sheetViews>
  <sheetFormatPr defaultColWidth="9.33203125" defaultRowHeight="12.75"/>
  <cols>
    <col min="1" max="1" width="11.1640625" style="6" customWidth="1"/>
    <col min="2" max="2" width="61.6640625" style="6" customWidth="1"/>
    <col min="3" max="3" width="12.33203125" style="144" customWidth="1"/>
    <col min="4" max="4" width="11.33203125" style="7" customWidth="1"/>
    <col min="5" max="6" width="19.1640625" style="8" customWidth="1"/>
    <col min="7" max="7" width="27.5" style="9" customWidth="1"/>
    <col min="8" max="8" width="23.83203125" style="8" customWidth="1"/>
    <col min="9" max="9" width="23.83203125" style="8" hidden="1" customWidth="1"/>
    <col min="10" max="10" width="22" style="8" customWidth="1"/>
    <col min="11" max="11" width="25.83203125" style="8" customWidth="1"/>
    <col min="12" max="12" width="25.83203125" style="8" hidden="1" customWidth="1"/>
    <col min="13" max="13" width="21.83203125" style="8" customWidth="1"/>
    <col min="14" max="14" width="21.83203125" style="8" hidden="1" customWidth="1"/>
    <col min="15" max="15" width="24" style="8" customWidth="1"/>
    <col min="16" max="16" width="24" style="8" hidden="1" customWidth="1"/>
    <col min="17" max="17" width="19.6640625" style="8" customWidth="1"/>
    <col min="18" max="18" width="19.6640625" style="8" hidden="1" customWidth="1"/>
    <col min="19" max="19" width="21" style="8" customWidth="1"/>
    <col min="20" max="20" width="23.6640625" style="8" customWidth="1"/>
    <col min="21" max="21" width="12.33203125" style="8" customWidth="1"/>
    <col min="22" max="22" width="24.83203125" style="8" customWidth="1"/>
    <col min="23" max="23" width="25.83203125" style="9" customWidth="1"/>
    <col min="24" max="24" width="10.83203125" style="7" customWidth="1"/>
    <col min="25" max="25" width="11.1640625" style="7" customWidth="1"/>
    <col min="26" max="16384" width="9.33203125" style="6"/>
  </cols>
  <sheetData>
    <row r="1" spans="1:25" s="1" customFormat="1" ht="39" customHeight="1">
      <c r="C1" s="143"/>
      <c r="D1" s="2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190" t="s">
        <v>600</v>
      </c>
      <c r="R1" s="190"/>
      <c r="S1" s="190"/>
      <c r="T1" s="190"/>
      <c r="U1" s="190"/>
      <c r="V1" s="190"/>
      <c r="W1" s="5"/>
      <c r="X1" s="2"/>
      <c r="Y1" s="2"/>
    </row>
    <row r="2" spans="1:25" ht="38.25" customHeight="1">
      <c r="Q2" s="190" t="s">
        <v>599</v>
      </c>
      <c r="R2" s="190"/>
      <c r="S2" s="190"/>
      <c r="T2" s="190"/>
      <c r="U2" s="190"/>
      <c r="V2" s="190"/>
      <c r="W2" s="5"/>
    </row>
    <row r="3" spans="1:25" ht="41.25" customHeight="1">
      <c r="Q3" s="190" t="s">
        <v>571</v>
      </c>
      <c r="R3" s="190"/>
      <c r="S3" s="190"/>
      <c r="T3" s="190"/>
      <c r="U3" s="190"/>
      <c r="V3" s="190"/>
      <c r="W3" s="5"/>
    </row>
    <row r="4" spans="1:25" ht="33" customHeight="1">
      <c r="Q4" s="191" t="s">
        <v>646</v>
      </c>
      <c r="R4" s="191"/>
      <c r="S4" s="191"/>
      <c r="T4" s="191"/>
      <c r="U4" s="191"/>
      <c r="V4" s="191"/>
      <c r="W4" s="191"/>
    </row>
    <row r="5" spans="1:25" ht="19.5" customHeight="1">
      <c r="A5" s="10"/>
      <c r="B5" s="10"/>
      <c r="C5" s="145"/>
      <c r="D5" s="11"/>
      <c r="E5" s="12"/>
      <c r="F5" s="12"/>
      <c r="G5" s="13"/>
      <c r="H5" s="12"/>
      <c r="I5" s="12"/>
      <c r="J5" s="12"/>
      <c r="K5" s="12"/>
      <c r="L5" s="12"/>
      <c r="M5" s="12"/>
      <c r="N5" s="12"/>
      <c r="O5" s="12"/>
      <c r="P5" s="12"/>
      <c r="Q5" s="192"/>
      <c r="R5" s="192"/>
      <c r="S5" s="192"/>
      <c r="T5" s="192"/>
      <c r="U5" s="192"/>
      <c r="V5" s="192"/>
      <c r="W5" s="192"/>
      <c r="X5" s="11"/>
      <c r="Y5" s="11"/>
    </row>
    <row r="6" spans="1:25" ht="62.25" customHeight="1">
      <c r="A6" s="193" t="s">
        <v>602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</row>
    <row r="7" spans="1:25" ht="0.75" hidden="1" customHeight="1">
      <c r="A7" s="164"/>
      <c r="B7" s="164"/>
      <c r="C7" s="146"/>
      <c r="D7" s="164"/>
      <c r="E7" s="14"/>
      <c r="F7" s="14"/>
      <c r="G7" s="1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5"/>
      <c r="X7" s="164"/>
      <c r="Y7" s="164"/>
    </row>
    <row r="8" spans="1:25" ht="28.5" customHeight="1">
      <c r="A8" s="194" t="s">
        <v>598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</row>
    <row r="9" spans="1:25" ht="17.25" customHeight="1">
      <c r="A9" s="16"/>
      <c r="B9" s="16"/>
      <c r="C9" s="147"/>
      <c r="D9" s="16"/>
      <c r="E9" s="17"/>
      <c r="F9" s="17"/>
      <c r="G9" s="18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8"/>
      <c r="X9" s="16"/>
      <c r="Y9" s="16"/>
    </row>
    <row r="10" spans="1:25" s="120" customFormat="1" ht="18.75" customHeight="1">
      <c r="A10" s="195" t="s">
        <v>0</v>
      </c>
      <c r="B10" s="195" t="s">
        <v>1</v>
      </c>
      <c r="C10" s="196" t="s">
        <v>2</v>
      </c>
      <c r="D10" s="189" t="s">
        <v>597</v>
      </c>
      <c r="E10" s="189" t="s">
        <v>3</v>
      </c>
      <c r="F10" s="189" t="s">
        <v>476</v>
      </c>
      <c r="G10" s="195" t="s">
        <v>129</v>
      </c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89" t="s">
        <v>131</v>
      </c>
      <c r="Y10" s="189" t="s">
        <v>132</v>
      </c>
    </row>
    <row r="11" spans="1:25" s="120" customFormat="1" ht="16.5" customHeight="1">
      <c r="A11" s="195"/>
      <c r="B11" s="195"/>
      <c r="C11" s="196"/>
      <c r="D11" s="189"/>
      <c r="E11" s="189"/>
      <c r="F11" s="189"/>
      <c r="G11" s="188" t="s">
        <v>4</v>
      </c>
      <c r="H11" s="189" t="s">
        <v>5</v>
      </c>
      <c r="I11" s="162"/>
      <c r="J11" s="189" t="s">
        <v>6</v>
      </c>
      <c r="K11" s="189" t="s">
        <v>7</v>
      </c>
      <c r="L11" s="162"/>
      <c r="M11" s="189" t="s">
        <v>8</v>
      </c>
      <c r="N11" s="162"/>
      <c r="O11" s="189" t="s">
        <v>9</v>
      </c>
      <c r="P11" s="162"/>
      <c r="Q11" s="189" t="s">
        <v>10</v>
      </c>
      <c r="R11" s="162"/>
      <c r="S11" s="189" t="s">
        <v>130</v>
      </c>
      <c r="T11" s="195" t="s">
        <v>11</v>
      </c>
      <c r="U11" s="195"/>
      <c r="V11" s="195"/>
      <c r="W11" s="195"/>
      <c r="X11" s="189"/>
      <c r="Y11" s="189"/>
    </row>
    <row r="12" spans="1:25" s="120" customFormat="1" ht="89.25" customHeight="1">
      <c r="A12" s="195"/>
      <c r="B12" s="195"/>
      <c r="C12" s="196"/>
      <c r="D12" s="189"/>
      <c r="E12" s="189"/>
      <c r="F12" s="189"/>
      <c r="G12" s="188"/>
      <c r="H12" s="189"/>
      <c r="I12" s="162"/>
      <c r="J12" s="189"/>
      <c r="K12" s="189"/>
      <c r="L12" s="162"/>
      <c r="M12" s="189"/>
      <c r="N12" s="162"/>
      <c r="O12" s="189"/>
      <c r="P12" s="162"/>
      <c r="Q12" s="189"/>
      <c r="R12" s="162"/>
      <c r="S12" s="189"/>
      <c r="T12" s="162" t="s">
        <v>26</v>
      </c>
      <c r="U12" s="162" t="s">
        <v>120</v>
      </c>
      <c r="V12" s="162" t="s">
        <v>12</v>
      </c>
      <c r="W12" s="166" t="s">
        <v>119</v>
      </c>
      <c r="X12" s="189"/>
      <c r="Y12" s="189"/>
    </row>
    <row r="13" spans="1:25" s="120" customFormat="1" ht="15.75">
      <c r="A13" s="195"/>
      <c r="B13" s="195"/>
      <c r="C13" s="196"/>
      <c r="D13" s="189"/>
      <c r="E13" s="165" t="s">
        <v>13</v>
      </c>
      <c r="F13" s="165" t="s">
        <v>13</v>
      </c>
      <c r="G13" s="62" t="s">
        <v>14</v>
      </c>
      <c r="H13" s="165" t="s">
        <v>14</v>
      </c>
      <c r="I13" s="165"/>
      <c r="J13" s="165" t="s">
        <v>14</v>
      </c>
      <c r="K13" s="165" t="s">
        <v>14</v>
      </c>
      <c r="L13" s="165"/>
      <c r="M13" s="165" t="s">
        <v>14</v>
      </c>
      <c r="N13" s="165"/>
      <c r="O13" s="165" t="s">
        <v>14</v>
      </c>
      <c r="P13" s="165"/>
      <c r="Q13" s="165" t="s">
        <v>14</v>
      </c>
      <c r="R13" s="165"/>
      <c r="S13" s="165" t="s">
        <v>14</v>
      </c>
      <c r="T13" s="165" t="s">
        <v>14</v>
      </c>
      <c r="U13" s="165" t="s">
        <v>14</v>
      </c>
      <c r="V13" s="165" t="s">
        <v>14</v>
      </c>
      <c r="W13" s="62" t="s">
        <v>14</v>
      </c>
      <c r="X13" s="189"/>
      <c r="Y13" s="189"/>
    </row>
    <row r="14" spans="1:25" s="120" customFormat="1" ht="15.75">
      <c r="A14" s="165" t="s">
        <v>15</v>
      </c>
      <c r="B14" s="165" t="s">
        <v>16</v>
      </c>
      <c r="C14" s="148" t="s">
        <v>17</v>
      </c>
      <c r="D14" s="165">
        <v>4</v>
      </c>
      <c r="E14" s="165">
        <v>5</v>
      </c>
      <c r="F14" s="165">
        <v>6</v>
      </c>
      <c r="G14" s="165">
        <v>7</v>
      </c>
      <c r="H14" s="165">
        <v>8</v>
      </c>
      <c r="I14" s="165">
        <v>8</v>
      </c>
      <c r="J14" s="165">
        <v>9</v>
      </c>
      <c r="K14" s="165">
        <v>10</v>
      </c>
      <c r="L14" s="165">
        <v>10</v>
      </c>
      <c r="M14" s="165">
        <v>11</v>
      </c>
      <c r="N14" s="165">
        <v>11</v>
      </c>
      <c r="O14" s="165">
        <v>12</v>
      </c>
      <c r="P14" s="165">
        <v>12</v>
      </c>
      <c r="Q14" s="165">
        <v>13</v>
      </c>
      <c r="R14" s="165">
        <v>13</v>
      </c>
      <c r="S14" s="165">
        <v>14</v>
      </c>
      <c r="T14" s="165">
        <v>15</v>
      </c>
      <c r="U14" s="121">
        <v>16</v>
      </c>
      <c r="V14" s="121">
        <v>17</v>
      </c>
      <c r="W14" s="121">
        <v>18</v>
      </c>
      <c r="X14" s="121">
        <v>19</v>
      </c>
      <c r="Y14" s="121">
        <v>20</v>
      </c>
    </row>
    <row r="15" spans="1:25" s="120" customFormat="1" ht="20.100000000000001" customHeight="1">
      <c r="A15" s="185" t="s">
        <v>444</v>
      </c>
      <c r="B15" s="185"/>
      <c r="C15" s="148"/>
      <c r="D15" s="165"/>
      <c r="E15" s="19">
        <f>E38+E55+E80+E110+E290+E306+E326+E381+E387+E393+E399+E452+E459+E464+E473+E510+E519+E526+E540+E545+E553+E564+E573+E579+E593+E600+E618+E640+E664</f>
        <v>337022.72000000003</v>
      </c>
      <c r="F15" s="19">
        <f t="shared" ref="F15:G15" si="0">F38+F55+F80+F110+F290+F306+F326+F381+F387+F393+F399+F452+F459+F464+F473+F510+F519+F526+F540+F545+F553+F564+F573+F579+F593+F600+F618+F640+F664</f>
        <v>277764.5</v>
      </c>
      <c r="G15" s="19">
        <f t="shared" si="0"/>
        <v>192859517.35999998</v>
      </c>
      <c r="H15" s="19">
        <f t="shared" ref="H15:W15" si="1">H38+H55+H80+H110+H290+H306+H326+H381+H387+H393+H399+H452+H459+H464+H473+H510+H519+H526+H540+H545+H553+H564+H573+H579+H593+H600+H618+H640+H664</f>
        <v>30668273.780000001</v>
      </c>
      <c r="I15" s="19">
        <f t="shared" si="1"/>
        <v>0</v>
      </c>
      <c r="J15" s="19">
        <f t="shared" si="1"/>
        <v>43178577.089999996</v>
      </c>
      <c r="K15" s="19">
        <f t="shared" si="1"/>
        <v>108415669.48999999</v>
      </c>
      <c r="L15" s="19">
        <f t="shared" si="1"/>
        <v>0</v>
      </c>
      <c r="M15" s="19">
        <f t="shared" si="1"/>
        <v>591487</v>
      </c>
      <c r="N15" s="19">
        <f t="shared" si="1"/>
        <v>0</v>
      </c>
      <c r="O15" s="19">
        <f t="shared" si="1"/>
        <v>10005510</v>
      </c>
      <c r="P15" s="19">
        <f t="shared" si="1"/>
        <v>0</v>
      </c>
      <c r="Q15" s="19">
        <f t="shared" si="1"/>
        <v>0</v>
      </c>
      <c r="R15" s="19">
        <f t="shared" si="1"/>
        <v>0</v>
      </c>
      <c r="S15" s="19">
        <f t="shared" si="1"/>
        <v>0</v>
      </c>
      <c r="T15" s="19">
        <f t="shared" si="1"/>
        <v>0</v>
      </c>
      <c r="U15" s="19">
        <f t="shared" si="1"/>
        <v>0</v>
      </c>
      <c r="V15" s="19">
        <f t="shared" si="1"/>
        <v>189313586.03999996</v>
      </c>
      <c r="W15" s="19">
        <f t="shared" si="1"/>
        <v>3545931.32</v>
      </c>
      <c r="X15" s="20" t="s">
        <v>447</v>
      </c>
      <c r="Y15" s="20" t="s">
        <v>447</v>
      </c>
    </row>
    <row r="16" spans="1:25" s="120" customFormat="1" ht="20.100000000000001" customHeight="1">
      <c r="A16" s="185" t="s">
        <v>445</v>
      </c>
      <c r="B16" s="185"/>
      <c r="C16" s="148"/>
      <c r="D16" s="165"/>
      <c r="E16" s="19">
        <f>E39+E56+E81+E111+E291+E307+E327+E382+E388+E394+E400+E453+E460+E465+E474+E511+E520+E527+E541+E546+E554+E565+E574+E580+E594+E601+E619+E641+E665</f>
        <v>355411.6</v>
      </c>
      <c r="F16" s="19">
        <f t="shared" ref="F16:G16" si="2">F39+F56+F81+F111+F291+F307+F327+F382+F388+F394+F400+F453+F460+F465+F474+F511+F520+F527+F541+F546+F554+F565+F574+F580+F594+F601+F619+F641+F665</f>
        <v>306747.2</v>
      </c>
      <c r="G16" s="19">
        <f t="shared" si="2"/>
        <v>257767436.89000002</v>
      </c>
      <c r="H16" s="19">
        <f t="shared" ref="H16:W16" si="3">H39+H56+H81+H111+H291+H307+H327+H382+H388+H394+H400+H453+H460+H465+H474+H511+H520+H527+H541+H546+H554+H565+H574+H580+H594+H601+H619+H641+H665</f>
        <v>76243071.420000002</v>
      </c>
      <c r="I16" s="19">
        <f t="shared" si="3"/>
        <v>0</v>
      </c>
      <c r="J16" s="19">
        <f t="shared" si="3"/>
        <v>24326300.420000002</v>
      </c>
      <c r="K16" s="19">
        <f t="shared" si="3"/>
        <v>124412785.70999999</v>
      </c>
      <c r="L16" s="19">
        <f t="shared" si="3"/>
        <v>0</v>
      </c>
      <c r="M16" s="19">
        <f t="shared" si="3"/>
        <v>73252.14</v>
      </c>
      <c r="N16" s="19">
        <f t="shared" si="3"/>
        <v>0</v>
      </c>
      <c r="O16" s="19">
        <f t="shared" si="3"/>
        <v>31210026.57</v>
      </c>
      <c r="P16" s="19">
        <f t="shared" si="3"/>
        <v>0</v>
      </c>
      <c r="Q16" s="19">
        <f t="shared" si="3"/>
        <v>402000.63</v>
      </c>
      <c r="R16" s="19">
        <f t="shared" si="3"/>
        <v>0</v>
      </c>
      <c r="S16" s="19">
        <f t="shared" si="3"/>
        <v>1100000</v>
      </c>
      <c r="T16" s="19">
        <f t="shared" si="3"/>
        <v>31384855.310000002</v>
      </c>
      <c r="U16" s="19">
        <f t="shared" si="3"/>
        <v>0</v>
      </c>
      <c r="V16" s="19">
        <f t="shared" si="3"/>
        <v>40297489.609999999</v>
      </c>
      <c r="W16" s="19">
        <f t="shared" si="3"/>
        <v>186085091.97000003</v>
      </c>
      <c r="X16" s="20" t="s">
        <v>447</v>
      </c>
      <c r="Y16" s="20" t="s">
        <v>447</v>
      </c>
    </row>
    <row r="17" spans="1:26" s="120" customFormat="1" ht="20.100000000000001" customHeight="1">
      <c r="A17" s="185" t="s">
        <v>446</v>
      </c>
      <c r="B17" s="185"/>
      <c r="C17" s="148"/>
      <c r="D17" s="165"/>
      <c r="E17" s="19">
        <f>E40+E57+E82+E112+E292+E308+E328+E383+E389+E395+E401+E454+E461+E466+E475+E512+E521+E528+E542+E547+E555+E566+E575+E581+E595+E602+E620+E642+E666</f>
        <v>960355.74000000034</v>
      </c>
      <c r="F17" s="19">
        <f t="shared" ref="F17:G17" si="4">F40+F57+F82+F112+F292+F308+F328+F383+F389+F395+F401+F454+F461+F466+F475+F512+F521+F528+F542+F547+F555+F566+F575+F581+F595+F602+F620+F642+F666</f>
        <v>808176.98999999953</v>
      </c>
      <c r="G17" s="19">
        <f t="shared" si="4"/>
        <v>1071258352.473</v>
      </c>
      <c r="H17" s="19">
        <f t="shared" ref="H17:W17" si="5">H40+H57+H82+H112+H292+H308+H328+H383+H389+H395+H401+H454+H461+H466+H475+H512+H521+H528+H542+H547+H555+H566+H575+H581+H595+H602+H620+H642+H666</f>
        <v>264918578.11999995</v>
      </c>
      <c r="I17" s="19">
        <f t="shared" si="5"/>
        <v>52771.38267445111</v>
      </c>
      <c r="J17" s="19">
        <f t="shared" si="5"/>
        <v>31930516.630000003</v>
      </c>
      <c r="K17" s="19">
        <f t="shared" si="5"/>
        <v>412953005.65200007</v>
      </c>
      <c r="L17" s="19">
        <f t="shared" si="5"/>
        <v>54064.740299885307</v>
      </c>
      <c r="M17" s="19">
        <f t="shared" si="5"/>
        <v>5193020.091</v>
      </c>
      <c r="N17" s="19">
        <f t="shared" si="5"/>
        <v>624.89646107586282</v>
      </c>
      <c r="O17" s="19">
        <f t="shared" si="5"/>
        <v>344630787.04799998</v>
      </c>
      <c r="P17" s="19">
        <f t="shared" si="5"/>
        <v>17972.46230829713</v>
      </c>
      <c r="Q17" s="19">
        <f t="shared" si="5"/>
        <v>2320445.1719999998</v>
      </c>
      <c r="R17" s="19">
        <f t="shared" si="5"/>
        <v>560.78</v>
      </c>
      <c r="S17" s="19">
        <f t="shared" si="5"/>
        <v>9311999.7599999979</v>
      </c>
      <c r="T17" s="19">
        <f t="shared" si="5"/>
        <v>7280678</v>
      </c>
      <c r="U17" s="19">
        <f t="shared" si="5"/>
        <v>0</v>
      </c>
      <c r="V17" s="19">
        <f t="shared" si="5"/>
        <v>21384601.166000001</v>
      </c>
      <c r="W17" s="19">
        <f t="shared" si="5"/>
        <v>1040836354.293</v>
      </c>
      <c r="X17" s="20" t="s">
        <v>447</v>
      </c>
      <c r="Y17" s="20" t="s">
        <v>447</v>
      </c>
    </row>
    <row r="18" spans="1:26" s="120" customFormat="1" ht="18" customHeight="1">
      <c r="A18" s="187" t="s">
        <v>133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28"/>
      <c r="Y18" s="28"/>
    </row>
    <row r="19" spans="1:26" s="122" customFormat="1" ht="18" customHeight="1">
      <c r="A19" s="165" t="s">
        <v>15</v>
      </c>
      <c r="B19" s="24" t="s">
        <v>134</v>
      </c>
      <c r="C19" s="149">
        <v>1963</v>
      </c>
      <c r="D19" s="25"/>
      <c r="E19" s="49">
        <v>3440.6</v>
      </c>
      <c r="F19" s="22">
        <v>3194.7</v>
      </c>
      <c r="G19" s="46">
        <f>SUM(H19:S19)</f>
        <v>7289315.4799999995</v>
      </c>
      <c r="H19" s="35">
        <v>3525427.52</v>
      </c>
      <c r="I19" s="35"/>
      <c r="J19" s="35">
        <v>0</v>
      </c>
      <c r="K19" s="35">
        <v>3638409.28</v>
      </c>
      <c r="L19" s="35"/>
      <c r="M19" s="35">
        <v>0</v>
      </c>
      <c r="N19" s="35"/>
      <c r="O19" s="35">
        <v>0</v>
      </c>
      <c r="P19" s="35"/>
      <c r="Q19" s="35">
        <v>125478.68</v>
      </c>
      <c r="R19" s="35"/>
      <c r="S19" s="35">
        <v>0</v>
      </c>
      <c r="T19" s="35">
        <v>0</v>
      </c>
      <c r="U19" s="35">
        <v>0</v>
      </c>
      <c r="V19" s="35">
        <v>0</v>
      </c>
      <c r="W19" s="46">
        <f t="shared" ref="W19:W37" si="6">G19</f>
        <v>7289315.4799999995</v>
      </c>
      <c r="X19" s="165">
        <v>2015</v>
      </c>
      <c r="Y19" s="165">
        <v>2015</v>
      </c>
      <c r="Z19" s="176"/>
    </row>
    <row r="20" spans="1:26" s="122" customFormat="1" ht="18" customHeight="1">
      <c r="A20" s="165">
        <f>A19+1</f>
        <v>2</v>
      </c>
      <c r="B20" s="24" t="s">
        <v>135</v>
      </c>
      <c r="C20" s="149">
        <v>1963</v>
      </c>
      <c r="D20" s="25"/>
      <c r="E20" s="49">
        <v>2698.7</v>
      </c>
      <c r="F20" s="22">
        <v>2517.1</v>
      </c>
      <c r="G20" s="46">
        <f>SUM(H20:S20)</f>
        <v>5787179.1500000004</v>
      </c>
      <c r="H20" s="35">
        <v>2753485.46</v>
      </c>
      <c r="I20" s="35"/>
      <c r="J20" s="35">
        <v>0</v>
      </c>
      <c r="K20" s="35">
        <v>2935272.1</v>
      </c>
      <c r="L20" s="35"/>
      <c r="M20" s="35">
        <v>0</v>
      </c>
      <c r="N20" s="35"/>
      <c r="O20" s="35">
        <v>0</v>
      </c>
      <c r="P20" s="35"/>
      <c r="Q20" s="35">
        <v>98421.59</v>
      </c>
      <c r="R20" s="35"/>
      <c r="S20" s="35">
        <v>0</v>
      </c>
      <c r="T20" s="35">
        <v>0</v>
      </c>
      <c r="U20" s="35">
        <v>0</v>
      </c>
      <c r="V20" s="35">
        <v>0</v>
      </c>
      <c r="W20" s="46">
        <f t="shared" si="6"/>
        <v>5787179.1500000004</v>
      </c>
      <c r="X20" s="165">
        <v>2015</v>
      </c>
      <c r="Y20" s="165">
        <v>2015</v>
      </c>
      <c r="Z20" s="176"/>
    </row>
    <row r="21" spans="1:26" s="122" customFormat="1" ht="18" customHeight="1">
      <c r="A21" s="165">
        <f t="shared" ref="A21:A37" si="7">A20+1</f>
        <v>3</v>
      </c>
      <c r="B21" s="24" t="s">
        <v>136</v>
      </c>
      <c r="C21" s="149">
        <v>1966</v>
      </c>
      <c r="D21" s="25"/>
      <c r="E21" s="49">
        <v>3113.3</v>
      </c>
      <c r="F21" s="22">
        <v>2874</v>
      </c>
      <c r="G21" s="46">
        <f>SUM(H21:S21)</f>
        <v>6597500</v>
      </c>
      <c r="H21" s="35">
        <v>3193337.05</v>
      </c>
      <c r="I21" s="35"/>
      <c r="J21" s="35">
        <v>0</v>
      </c>
      <c r="K21" s="35">
        <v>3404162.95</v>
      </c>
      <c r="L21" s="35"/>
      <c r="M21" s="35">
        <v>0</v>
      </c>
      <c r="N21" s="35"/>
      <c r="O21" s="35">
        <v>0</v>
      </c>
      <c r="P21" s="35"/>
      <c r="Q21" s="35">
        <v>0</v>
      </c>
      <c r="R21" s="35"/>
      <c r="S21" s="35">
        <v>0</v>
      </c>
      <c r="T21" s="35">
        <v>0</v>
      </c>
      <c r="U21" s="35">
        <v>0</v>
      </c>
      <c r="V21" s="35">
        <v>0</v>
      </c>
      <c r="W21" s="46">
        <f t="shared" si="6"/>
        <v>6597500</v>
      </c>
      <c r="X21" s="165">
        <v>2015</v>
      </c>
      <c r="Y21" s="165">
        <v>2015</v>
      </c>
      <c r="Z21" s="176"/>
    </row>
    <row r="22" spans="1:26" s="122" customFormat="1" ht="18" customHeight="1">
      <c r="A22" s="165">
        <f t="shared" si="7"/>
        <v>4</v>
      </c>
      <c r="B22" s="24" t="s">
        <v>137</v>
      </c>
      <c r="C22" s="149">
        <v>1970</v>
      </c>
      <c r="D22" s="25"/>
      <c r="E22" s="49">
        <v>4953.2</v>
      </c>
      <c r="F22" s="22">
        <v>4543.8999999999996</v>
      </c>
      <c r="G22" s="46">
        <f t="shared" ref="G22:G37" si="8">H22+J22+K22+M22+O22+Q22+S22</f>
        <v>5785498.9900000002</v>
      </c>
      <c r="H22" s="35">
        <v>5785498.9900000002</v>
      </c>
      <c r="I22" s="35">
        <f t="shared" ref="I22:I37" si="9">H22/F22</f>
        <v>1273.2452276678625</v>
      </c>
      <c r="J22" s="35">
        <v>0</v>
      </c>
      <c r="K22" s="35">
        <v>0</v>
      </c>
      <c r="L22" s="35"/>
      <c r="M22" s="35">
        <v>0</v>
      </c>
      <c r="N22" s="35"/>
      <c r="O22" s="35">
        <v>0</v>
      </c>
      <c r="P22" s="35"/>
      <c r="Q22" s="35">
        <v>0</v>
      </c>
      <c r="R22" s="35"/>
      <c r="S22" s="35">
        <v>0</v>
      </c>
      <c r="T22" s="35">
        <v>0</v>
      </c>
      <c r="U22" s="35">
        <v>0</v>
      </c>
      <c r="V22" s="35">
        <v>0</v>
      </c>
      <c r="W22" s="46">
        <f t="shared" si="6"/>
        <v>5785498.9900000002</v>
      </c>
      <c r="X22" s="165">
        <v>2015</v>
      </c>
      <c r="Y22" s="165">
        <v>2016</v>
      </c>
      <c r="Z22" s="176">
        <v>1</v>
      </c>
    </row>
    <row r="23" spans="1:26" s="122" customFormat="1" ht="18" customHeight="1">
      <c r="A23" s="165">
        <f t="shared" si="7"/>
        <v>5</v>
      </c>
      <c r="B23" s="24" t="s">
        <v>138</v>
      </c>
      <c r="C23" s="149">
        <v>1964</v>
      </c>
      <c r="D23" s="25"/>
      <c r="E23" s="49">
        <v>3748.8</v>
      </c>
      <c r="F23" s="22">
        <v>3476.2</v>
      </c>
      <c r="G23" s="46">
        <f t="shared" si="8"/>
        <v>7612500</v>
      </c>
      <c r="H23" s="35">
        <v>3687445.52</v>
      </c>
      <c r="I23" s="35">
        <f t="shared" si="9"/>
        <v>1060.7690926874175</v>
      </c>
      <c r="J23" s="35">
        <v>0</v>
      </c>
      <c r="K23" s="35">
        <v>3925054.48</v>
      </c>
      <c r="L23" s="35">
        <f>K23/F23</f>
        <v>1129.1221678844715</v>
      </c>
      <c r="M23" s="35">
        <v>0</v>
      </c>
      <c r="N23" s="35"/>
      <c r="O23" s="35">
        <v>0</v>
      </c>
      <c r="P23" s="35"/>
      <c r="Q23" s="35">
        <v>0</v>
      </c>
      <c r="R23" s="35"/>
      <c r="S23" s="35">
        <v>0</v>
      </c>
      <c r="T23" s="35">
        <v>0</v>
      </c>
      <c r="U23" s="35">
        <v>0</v>
      </c>
      <c r="V23" s="35">
        <v>0</v>
      </c>
      <c r="W23" s="46">
        <f t="shared" si="6"/>
        <v>7612500</v>
      </c>
      <c r="X23" s="165">
        <v>2015</v>
      </c>
      <c r="Y23" s="165">
        <v>2016</v>
      </c>
      <c r="Z23" s="176">
        <f>Z22+1</f>
        <v>2</v>
      </c>
    </row>
    <row r="24" spans="1:26" s="122" customFormat="1" ht="18" customHeight="1">
      <c r="A24" s="165">
        <f t="shared" si="7"/>
        <v>6</v>
      </c>
      <c r="B24" s="24" t="s">
        <v>139</v>
      </c>
      <c r="C24" s="149">
        <v>1965</v>
      </c>
      <c r="D24" s="25"/>
      <c r="E24" s="49">
        <v>3495.6</v>
      </c>
      <c r="F24" s="22">
        <v>3315.5</v>
      </c>
      <c r="G24" s="46">
        <f t="shared" si="8"/>
        <v>6800500</v>
      </c>
      <c r="H24" s="35">
        <v>3004458.89</v>
      </c>
      <c r="I24" s="35">
        <f t="shared" si="9"/>
        <v>906.18576082038908</v>
      </c>
      <c r="J24" s="35">
        <v>0</v>
      </c>
      <c r="K24" s="35">
        <v>3674920.9</v>
      </c>
      <c r="L24" s="35">
        <f>K24/F24</f>
        <v>1108.4062434022017</v>
      </c>
      <c r="M24" s="35">
        <v>0</v>
      </c>
      <c r="N24" s="35"/>
      <c r="O24" s="35">
        <v>0</v>
      </c>
      <c r="P24" s="35"/>
      <c r="Q24" s="35">
        <v>121120.21</v>
      </c>
      <c r="R24" s="35">
        <f>Q24/E24</f>
        <v>34.649333447762906</v>
      </c>
      <c r="S24" s="35">
        <v>0</v>
      </c>
      <c r="T24" s="35">
        <v>0</v>
      </c>
      <c r="U24" s="35">
        <v>0</v>
      </c>
      <c r="V24" s="35">
        <v>0</v>
      </c>
      <c r="W24" s="46">
        <f t="shared" si="6"/>
        <v>6800500</v>
      </c>
      <c r="X24" s="165">
        <v>2015</v>
      </c>
      <c r="Y24" s="165">
        <v>2016</v>
      </c>
      <c r="Z24" s="176">
        <f t="shared" ref="Z24:Z37" si="10">Z23+1</f>
        <v>3</v>
      </c>
    </row>
    <row r="25" spans="1:26" s="122" customFormat="1" ht="18" customHeight="1">
      <c r="A25" s="165">
        <f t="shared" si="7"/>
        <v>7</v>
      </c>
      <c r="B25" s="24" t="s">
        <v>140</v>
      </c>
      <c r="C25" s="149">
        <v>1965</v>
      </c>
      <c r="D25" s="25"/>
      <c r="E25" s="49">
        <v>3799.3</v>
      </c>
      <c r="F25" s="22">
        <v>3526.2</v>
      </c>
      <c r="G25" s="46">
        <f t="shared" si="8"/>
        <v>4440625</v>
      </c>
      <c r="H25" s="35">
        <v>4440625</v>
      </c>
      <c r="I25" s="35">
        <f t="shared" si="9"/>
        <v>1259.3230673245987</v>
      </c>
      <c r="J25" s="35">
        <v>0</v>
      </c>
      <c r="K25" s="35">
        <v>0</v>
      </c>
      <c r="L25" s="35">
        <f>K25/F25</f>
        <v>0</v>
      </c>
      <c r="M25" s="35">
        <v>0</v>
      </c>
      <c r="N25" s="35"/>
      <c r="O25" s="35">
        <v>0</v>
      </c>
      <c r="P25" s="35"/>
      <c r="Q25" s="35">
        <v>0</v>
      </c>
      <c r="R25" s="35"/>
      <c r="S25" s="35">
        <v>0</v>
      </c>
      <c r="T25" s="35">
        <v>0</v>
      </c>
      <c r="U25" s="35">
        <v>0</v>
      </c>
      <c r="V25" s="35">
        <v>0</v>
      </c>
      <c r="W25" s="46">
        <f t="shared" si="6"/>
        <v>4440625</v>
      </c>
      <c r="X25" s="165">
        <v>2015</v>
      </c>
      <c r="Y25" s="165">
        <v>2016</v>
      </c>
      <c r="Z25" s="176">
        <f t="shared" si="10"/>
        <v>4</v>
      </c>
    </row>
    <row r="26" spans="1:26" s="122" customFormat="1" ht="18" customHeight="1">
      <c r="A26" s="165">
        <f t="shared" si="7"/>
        <v>8</v>
      </c>
      <c r="B26" s="24" t="s">
        <v>141</v>
      </c>
      <c r="C26" s="149">
        <v>1966</v>
      </c>
      <c r="D26" s="25"/>
      <c r="E26" s="49">
        <v>3795.6</v>
      </c>
      <c r="F26" s="22">
        <v>3521.5</v>
      </c>
      <c r="G26" s="46">
        <f t="shared" si="8"/>
        <v>5338900</v>
      </c>
      <c r="H26" s="35">
        <v>1344722.69</v>
      </c>
      <c r="I26" s="35">
        <f t="shared" si="9"/>
        <v>381.8607667187278</v>
      </c>
      <c r="J26" s="35">
        <v>0</v>
      </c>
      <c r="K26" s="35">
        <v>3994177.31</v>
      </c>
      <c r="L26" s="35">
        <f>K26/F26</f>
        <v>1134.2261280704245</v>
      </c>
      <c r="M26" s="35">
        <v>0</v>
      </c>
      <c r="N26" s="35"/>
      <c r="O26" s="35">
        <v>0</v>
      </c>
      <c r="P26" s="35"/>
      <c r="Q26" s="35">
        <v>0</v>
      </c>
      <c r="R26" s="35"/>
      <c r="S26" s="35">
        <v>0</v>
      </c>
      <c r="T26" s="35">
        <v>0</v>
      </c>
      <c r="U26" s="35">
        <v>0</v>
      </c>
      <c r="V26" s="35">
        <v>0</v>
      </c>
      <c r="W26" s="46">
        <f t="shared" si="6"/>
        <v>5338900</v>
      </c>
      <c r="X26" s="165">
        <v>2015</v>
      </c>
      <c r="Y26" s="165">
        <v>2016</v>
      </c>
      <c r="Z26" s="176">
        <f t="shared" si="10"/>
        <v>5</v>
      </c>
    </row>
    <row r="27" spans="1:26" s="122" customFormat="1" ht="18" customHeight="1">
      <c r="A27" s="165">
        <f t="shared" si="7"/>
        <v>9</v>
      </c>
      <c r="B27" s="24" t="s">
        <v>142</v>
      </c>
      <c r="C27" s="149">
        <v>1965</v>
      </c>
      <c r="D27" s="25"/>
      <c r="E27" s="49">
        <v>3797.3</v>
      </c>
      <c r="F27" s="22">
        <v>3523.4</v>
      </c>
      <c r="G27" s="46">
        <f t="shared" si="8"/>
        <v>811998.99</v>
      </c>
      <c r="H27" s="35">
        <v>811998.99</v>
      </c>
      <c r="I27" s="35">
        <f t="shared" si="9"/>
        <v>230.45892887551796</v>
      </c>
      <c r="J27" s="35">
        <v>0</v>
      </c>
      <c r="K27" s="35">
        <v>0</v>
      </c>
      <c r="L27" s="35"/>
      <c r="M27" s="35">
        <v>0</v>
      </c>
      <c r="N27" s="35"/>
      <c r="O27" s="35">
        <v>0</v>
      </c>
      <c r="P27" s="35"/>
      <c r="Q27" s="35">
        <v>0</v>
      </c>
      <c r="R27" s="35"/>
      <c r="S27" s="35">
        <v>0</v>
      </c>
      <c r="T27" s="35">
        <v>0</v>
      </c>
      <c r="U27" s="35">
        <v>0</v>
      </c>
      <c r="V27" s="35">
        <v>0</v>
      </c>
      <c r="W27" s="46">
        <f t="shared" si="6"/>
        <v>811998.99</v>
      </c>
      <c r="X27" s="165">
        <v>2015</v>
      </c>
      <c r="Y27" s="165">
        <v>2016</v>
      </c>
      <c r="Z27" s="176">
        <f t="shared" si="10"/>
        <v>6</v>
      </c>
    </row>
    <row r="28" spans="1:26" s="122" customFormat="1" ht="18" customHeight="1">
      <c r="A28" s="165">
        <f t="shared" si="7"/>
        <v>10</v>
      </c>
      <c r="B28" s="24" t="s">
        <v>143</v>
      </c>
      <c r="C28" s="149">
        <v>1951</v>
      </c>
      <c r="D28" s="25"/>
      <c r="E28" s="26">
        <v>456</v>
      </c>
      <c r="F28" s="22">
        <v>403.3</v>
      </c>
      <c r="G28" s="46">
        <f t="shared" si="8"/>
        <v>1988527.1099999996</v>
      </c>
      <c r="H28" s="23">
        <v>889070.82</v>
      </c>
      <c r="I28" s="35">
        <f t="shared" si="9"/>
        <v>2204.490007438631</v>
      </c>
      <c r="J28" s="35">
        <v>0</v>
      </c>
      <c r="K28" s="23">
        <f>ROUND(403.3*1595.21,2)</f>
        <v>643348.18999999994</v>
      </c>
      <c r="L28" s="35">
        <f t="shared" ref="L28:L37" si="11">K28/F28</f>
        <v>1595.2099925613686</v>
      </c>
      <c r="M28" s="35">
        <v>0</v>
      </c>
      <c r="N28" s="35"/>
      <c r="O28" s="23">
        <f>ROUND(882.1*403.3,2)</f>
        <v>355750.93</v>
      </c>
      <c r="P28" s="23">
        <f>O28/F28</f>
        <v>882.09999999999991</v>
      </c>
      <c r="Q28" s="23">
        <f>ROUND(248.84*403.3,2)</f>
        <v>100357.17</v>
      </c>
      <c r="R28" s="35"/>
      <c r="S28" s="35">
        <v>0</v>
      </c>
      <c r="T28" s="35">
        <v>0</v>
      </c>
      <c r="U28" s="35">
        <v>0</v>
      </c>
      <c r="V28" s="35">
        <v>0</v>
      </c>
      <c r="W28" s="46">
        <f t="shared" si="6"/>
        <v>1988527.1099999996</v>
      </c>
      <c r="X28" s="165">
        <v>2015</v>
      </c>
      <c r="Y28" s="165">
        <v>2016</v>
      </c>
      <c r="Z28" s="176">
        <f t="shared" si="10"/>
        <v>7</v>
      </c>
    </row>
    <row r="29" spans="1:26" s="122" customFormat="1" ht="18" customHeight="1">
      <c r="A29" s="165">
        <f t="shared" si="7"/>
        <v>11</v>
      </c>
      <c r="B29" s="24" t="s">
        <v>497</v>
      </c>
      <c r="C29" s="149">
        <v>1951</v>
      </c>
      <c r="D29" s="25"/>
      <c r="E29" s="26">
        <v>618.4</v>
      </c>
      <c r="F29" s="22">
        <v>554.9</v>
      </c>
      <c r="G29" s="46">
        <f>H29+J29+K29+M29+O29+Q29+S29</f>
        <v>1828206.83</v>
      </c>
      <c r="H29" s="23">
        <v>943024.8</v>
      </c>
      <c r="I29" s="35">
        <f>H29/F29</f>
        <v>1699.4499909893675</v>
      </c>
      <c r="J29" s="35">
        <v>0</v>
      </c>
      <c r="K29" s="35">
        <v>885182.03</v>
      </c>
      <c r="L29" s="35">
        <f>K29/F29</f>
        <v>1595.2100018021267</v>
      </c>
      <c r="M29" s="35">
        <v>0</v>
      </c>
      <c r="N29" s="35"/>
      <c r="O29" s="35">
        <v>0</v>
      </c>
      <c r="P29" s="35"/>
      <c r="Q29" s="35">
        <v>0</v>
      </c>
      <c r="R29" s="35"/>
      <c r="S29" s="35">
        <v>0</v>
      </c>
      <c r="T29" s="35">
        <v>0</v>
      </c>
      <c r="U29" s="35">
        <v>0</v>
      </c>
      <c r="V29" s="35">
        <v>0</v>
      </c>
      <c r="W29" s="46">
        <f>G29</f>
        <v>1828206.83</v>
      </c>
      <c r="X29" s="165">
        <v>2016</v>
      </c>
      <c r="Y29" s="165">
        <v>2016</v>
      </c>
      <c r="Z29" s="176">
        <f t="shared" si="10"/>
        <v>8</v>
      </c>
    </row>
    <row r="30" spans="1:26" s="122" customFormat="1" ht="18" customHeight="1">
      <c r="A30" s="165">
        <f t="shared" si="7"/>
        <v>12</v>
      </c>
      <c r="B30" s="24" t="s">
        <v>146</v>
      </c>
      <c r="C30" s="149">
        <v>1962</v>
      </c>
      <c r="D30" s="25"/>
      <c r="E30" s="26">
        <v>2764</v>
      </c>
      <c r="F30" s="22">
        <v>2557.9</v>
      </c>
      <c r="G30" s="46">
        <f>H30+J30+K30+M30+O30+Q30+S30</f>
        <v>7022612.1299999999</v>
      </c>
      <c r="H30" s="23">
        <v>4647192.72</v>
      </c>
      <c r="I30" s="35">
        <f>H30/F30</f>
        <v>1816.7999999999997</v>
      </c>
      <c r="J30" s="35">
        <v>0</v>
      </c>
      <c r="K30" s="23">
        <f>ROUND(928.66*2557.9,2)</f>
        <v>2375419.41</v>
      </c>
      <c r="L30" s="35">
        <f>K30/F30</f>
        <v>928.65999843621728</v>
      </c>
      <c r="M30" s="35">
        <v>0</v>
      </c>
      <c r="N30" s="35"/>
      <c r="O30" s="35">
        <v>0</v>
      </c>
      <c r="P30" s="35"/>
      <c r="Q30" s="35">
        <v>0</v>
      </c>
      <c r="R30" s="35"/>
      <c r="S30" s="35">
        <v>0</v>
      </c>
      <c r="T30" s="35">
        <v>0</v>
      </c>
      <c r="U30" s="35">
        <v>0</v>
      </c>
      <c r="V30" s="35">
        <v>0</v>
      </c>
      <c r="W30" s="46">
        <f>G30</f>
        <v>7022612.1299999999</v>
      </c>
      <c r="X30" s="165">
        <v>2016</v>
      </c>
      <c r="Y30" s="165">
        <v>2016</v>
      </c>
      <c r="Z30" s="176">
        <f t="shared" si="10"/>
        <v>9</v>
      </c>
    </row>
    <row r="31" spans="1:26" s="122" customFormat="1" ht="18" customHeight="1">
      <c r="A31" s="165">
        <f t="shared" si="7"/>
        <v>13</v>
      </c>
      <c r="B31" s="24" t="s">
        <v>144</v>
      </c>
      <c r="C31" s="149">
        <v>1962</v>
      </c>
      <c r="D31" s="25"/>
      <c r="E31" s="26">
        <v>3428.9</v>
      </c>
      <c r="F31" s="22">
        <v>3183.9</v>
      </c>
      <c r="G31" s="46">
        <f>H31+J31+K31+M31+O31+Q31+S31</f>
        <v>8898777.629999999</v>
      </c>
      <c r="H31" s="23">
        <v>5986973.7199999997</v>
      </c>
      <c r="I31" s="35">
        <f>H31/F31</f>
        <v>1880.3899996859197</v>
      </c>
      <c r="J31" s="35">
        <v>0</v>
      </c>
      <c r="K31" s="23">
        <f>ROUND(914.54*3183.9,2)</f>
        <v>2911803.91</v>
      </c>
      <c r="L31" s="35">
        <f>K31/F31</f>
        <v>914.54000125632092</v>
      </c>
      <c r="M31" s="35">
        <v>0</v>
      </c>
      <c r="N31" s="35"/>
      <c r="O31" s="35">
        <v>0</v>
      </c>
      <c r="P31" s="35"/>
      <c r="Q31" s="35">
        <v>0</v>
      </c>
      <c r="R31" s="35"/>
      <c r="S31" s="35">
        <v>0</v>
      </c>
      <c r="T31" s="35">
        <v>0</v>
      </c>
      <c r="U31" s="35">
        <v>0</v>
      </c>
      <c r="V31" s="35">
        <v>0</v>
      </c>
      <c r="W31" s="46">
        <f>G31</f>
        <v>8898777.629999999</v>
      </c>
      <c r="X31" s="165">
        <v>2016</v>
      </c>
      <c r="Y31" s="165">
        <v>2016</v>
      </c>
      <c r="Z31" s="176">
        <f t="shared" si="10"/>
        <v>10</v>
      </c>
    </row>
    <row r="32" spans="1:26" s="122" customFormat="1" ht="18" customHeight="1">
      <c r="A32" s="165">
        <f t="shared" si="7"/>
        <v>14</v>
      </c>
      <c r="B32" s="24" t="s">
        <v>147</v>
      </c>
      <c r="C32" s="149">
        <v>1957</v>
      </c>
      <c r="D32" s="25"/>
      <c r="E32" s="26">
        <v>2020.4</v>
      </c>
      <c r="F32" s="22">
        <v>1842.9</v>
      </c>
      <c r="G32" s="46">
        <f>H32+J32+K32+M32+O32+Q32+S32</f>
        <v>3614313.9099999997</v>
      </c>
      <c r="H32" s="35">
        <v>674501.4</v>
      </c>
      <c r="I32" s="35">
        <f>H32/F32</f>
        <v>366</v>
      </c>
      <c r="J32" s="35">
        <v>0</v>
      </c>
      <c r="K32" s="23">
        <f>ROUND(1595.21*1842.9,2)</f>
        <v>2939812.51</v>
      </c>
      <c r="L32" s="35">
        <f>K32/F32</f>
        <v>1595.2100005426228</v>
      </c>
      <c r="M32" s="35">
        <v>0</v>
      </c>
      <c r="N32" s="35"/>
      <c r="O32" s="35">
        <v>0</v>
      </c>
      <c r="P32" s="35"/>
      <c r="Q32" s="35">
        <v>0</v>
      </c>
      <c r="R32" s="35"/>
      <c r="S32" s="35">
        <v>0</v>
      </c>
      <c r="T32" s="35">
        <v>0</v>
      </c>
      <c r="U32" s="35">
        <v>0</v>
      </c>
      <c r="V32" s="35">
        <v>0</v>
      </c>
      <c r="W32" s="46">
        <f>G32</f>
        <v>3614313.9099999997</v>
      </c>
      <c r="X32" s="165">
        <v>2016</v>
      </c>
      <c r="Y32" s="165">
        <v>2016</v>
      </c>
      <c r="Z32" s="176">
        <f t="shared" si="10"/>
        <v>11</v>
      </c>
    </row>
    <row r="33" spans="1:26" s="122" customFormat="1" ht="18" customHeight="1">
      <c r="A33" s="165">
        <f t="shared" si="7"/>
        <v>15</v>
      </c>
      <c r="B33" s="24" t="s">
        <v>145</v>
      </c>
      <c r="C33" s="149">
        <v>1961</v>
      </c>
      <c r="D33" s="25"/>
      <c r="E33" s="26">
        <v>1722.3</v>
      </c>
      <c r="F33" s="22">
        <v>1601.8</v>
      </c>
      <c r="G33" s="46">
        <f>H33+J33+K33+M33+O33+Q33+S33</f>
        <v>4476918.87</v>
      </c>
      <c r="H33" s="23">
        <v>3012008.7</v>
      </c>
      <c r="I33" s="35">
        <f>H33/F33</f>
        <v>1880.3899987514048</v>
      </c>
      <c r="J33" s="35">
        <v>0</v>
      </c>
      <c r="K33" s="23">
        <f>ROUND(914.54*1601.8,2)</f>
        <v>1464910.17</v>
      </c>
      <c r="L33" s="35">
        <f>K33/F33</f>
        <v>914.5399987514046</v>
      </c>
      <c r="M33" s="35">
        <v>0</v>
      </c>
      <c r="N33" s="35"/>
      <c r="O33" s="35">
        <v>0</v>
      </c>
      <c r="P33" s="35"/>
      <c r="Q33" s="35">
        <v>0</v>
      </c>
      <c r="R33" s="35"/>
      <c r="S33" s="35">
        <v>0</v>
      </c>
      <c r="T33" s="35">
        <v>0</v>
      </c>
      <c r="U33" s="35">
        <v>0</v>
      </c>
      <c r="V33" s="35">
        <v>0</v>
      </c>
      <c r="W33" s="46">
        <f>G33</f>
        <v>4476918.87</v>
      </c>
      <c r="X33" s="165">
        <v>2016</v>
      </c>
      <c r="Y33" s="165">
        <v>2016</v>
      </c>
      <c r="Z33" s="176">
        <f t="shared" si="10"/>
        <v>12</v>
      </c>
    </row>
    <row r="34" spans="1:26" s="122" customFormat="1" ht="18" customHeight="1">
      <c r="A34" s="165">
        <f t="shared" si="7"/>
        <v>16</v>
      </c>
      <c r="B34" s="24" t="s">
        <v>498</v>
      </c>
      <c r="C34" s="149">
        <v>1959</v>
      </c>
      <c r="D34" s="25"/>
      <c r="E34" s="26">
        <v>1786</v>
      </c>
      <c r="F34" s="22">
        <v>1632.8</v>
      </c>
      <c r="G34" s="46">
        <f>H34+J34+K34+M34+O34+Q34+S34</f>
        <v>5674959.6799999997</v>
      </c>
      <c r="H34" s="23">
        <v>3070300.79</v>
      </c>
      <c r="I34" s="35">
        <f>H34/F34</f>
        <v>1880.3899987751104</v>
      </c>
      <c r="J34" s="35">
        <v>0</v>
      </c>
      <c r="K34" s="23">
        <v>2604658.89</v>
      </c>
      <c r="L34" s="35">
        <f>K34/F34</f>
        <v>1595.21000122489</v>
      </c>
      <c r="M34" s="35">
        <v>0</v>
      </c>
      <c r="N34" s="35"/>
      <c r="O34" s="35">
        <v>0</v>
      </c>
      <c r="P34" s="35"/>
      <c r="Q34" s="35">
        <v>0</v>
      </c>
      <c r="R34" s="35"/>
      <c r="S34" s="35">
        <v>0</v>
      </c>
      <c r="T34" s="35">
        <v>0</v>
      </c>
      <c r="U34" s="35">
        <v>0</v>
      </c>
      <c r="V34" s="35">
        <v>0</v>
      </c>
      <c r="W34" s="46">
        <f>G34</f>
        <v>5674959.6799999997</v>
      </c>
      <c r="X34" s="165">
        <v>2016</v>
      </c>
      <c r="Y34" s="165">
        <v>2016</v>
      </c>
      <c r="Z34" s="176">
        <f t="shared" si="10"/>
        <v>13</v>
      </c>
    </row>
    <row r="35" spans="1:26" s="122" customFormat="1" ht="18" customHeight="1">
      <c r="A35" s="165">
        <f t="shared" si="7"/>
        <v>17</v>
      </c>
      <c r="B35" s="24" t="s">
        <v>148</v>
      </c>
      <c r="C35" s="149">
        <v>1961</v>
      </c>
      <c r="D35" s="25"/>
      <c r="E35" s="26">
        <v>3313.6</v>
      </c>
      <c r="F35" s="22">
        <v>3075.7</v>
      </c>
      <c r="G35" s="46">
        <f>H35+J35+K35+M35+O35+Q35+S35</f>
        <v>10689902.92</v>
      </c>
      <c r="H35" s="23">
        <v>5783515.5199999996</v>
      </c>
      <c r="I35" s="35">
        <f>H35/F35</f>
        <v>1880.3899990246123</v>
      </c>
      <c r="J35" s="35">
        <v>0</v>
      </c>
      <c r="K35" s="23">
        <f>ROUND(1595.21*3075.7,2)</f>
        <v>4906387.4000000004</v>
      </c>
      <c r="L35" s="35">
        <f>K35/F35</f>
        <v>1595.2100009753879</v>
      </c>
      <c r="M35" s="35">
        <v>0</v>
      </c>
      <c r="N35" s="35"/>
      <c r="O35" s="35">
        <v>0</v>
      </c>
      <c r="P35" s="35"/>
      <c r="Q35" s="35">
        <v>0</v>
      </c>
      <c r="R35" s="35"/>
      <c r="S35" s="35">
        <v>0</v>
      </c>
      <c r="T35" s="35">
        <v>0</v>
      </c>
      <c r="U35" s="35">
        <v>0</v>
      </c>
      <c r="V35" s="35">
        <v>0</v>
      </c>
      <c r="W35" s="46">
        <f>G35</f>
        <v>10689902.92</v>
      </c>
      <c r="X35" s="165">
        <v>2016</v>
      </c>
      <c r="Y35" s="165">
        <v>2016</v>
      </c>
      <c r="Z35" s="176">
        <f t="shared" si="10"/>
        <v>14</v>
      </c>
    </row>
    <row r="36" spans="1:26" s="122" customFormat="1" ht="18" customHeight="1">
      <c r="A36" s="165">
        <f t="shared" si="7"/>
        <v>18</v>
      </c>
      <c r="B36" s="24" t="s">
        <v>149</v>
      </c>
      <c r="C36" s="149">
        <v>1964</v>
      </c>
      <c r="D36" s="25"/>
      <c r="E36" s="26">
        <v>3585.7</v>
      </c>
      <c r="F36" s="22">
        <v>3313.7</v>
      </c>
      <c r="G36" s="46">
        <f>H36+J36+K36+M36+O36+Q36+S36</f>
        <v>4718543.1100000003</v>
      </c>
      <c r="H36" s="35">
        <v>1641242.47</v>
      </c>
      <c r="I36" s="35">
        <f>H36/F36</f>
        <v>495.28999909466762</v>
      </c>
      <c r="J36" s="35">
        <v>0</v>
      </c>
      <c r="K36" s="23">
        <v>3077300.64</v>
      </c>
      <c r="L36" s="35">
        <f>K36/F36</f>
        <v>928.65999939644519</v>
      </c>
      <c r="M36" s="35">
        <v>0</v>
      </c>
      <c r="N36" s="35"/>
      <c r="O36" s="35">
        <v>0</v>
      </c>
      <c r="P36" s="35"/>
      <c r="Q36" s="35">
        <v>0</v>
      </c>
      <c r="R36" s="35"/>
      <c r="S36" s="35">
        <v>0</v>
      </c>
      <c r="T36" s="35">
        <v>0</v>
      </c>
      <c r="U36" s="35">
        <v>0</v>
      </c>
      <c r="V36" s="35">
        <v>0</v>
      </c>
      <c r="W36" s="46">
        <f>G36</f>
        <v>4718543.1100000003</v>
      </c>
      <c r="X36" s="165">
        <v>2016</v>
      </c>
      <c r="Y36" s="165">
        <v>2016</v>
      </c>
      <c r="Z36" s="176">
        <f t="shared" si="10"/>
        <v>15</v>
      </c>
    </row>
    <row r="37" spans="1:26" s="122" customFormat="1" ht="18" customHeight="1">
      <c r="A37" s="165">
        <f t="shared" si="7"/>
        <v>19</v>
      </c>
      <c r="B37" s="24" t="s">
        <v>150</v>
      </c>
      <c r="C37" s="149">
        <v>1958</v>
      </c>
      <c r="D37" s="25"/>
      <c r="E37" s="27">
        <v>2083.34</v>
      </c>
      <c r="F37" s="22">
        <v>1902.1</v>
      </c>
      <c r="G37" s="46">
        <f>H37+J37+K37+M37+O37+Q37+S37</f>
        <v>6610938.7599999998</v>
      </c>
      <c r="H37" s="35">
        <v>3576689.82</v>
      </c>
      <c r="I37" s="35">
        <f>H37/F37</f>
        <v>1880.3900005257346</v>
      </c>
      <c r="J37" s="35">
        <v>0</v>
      </c>
      <c r="K37" s="23">
        <v>3034248.94</v>
      </c>
      <c r="L37" s="35">
        <f>K37/F37</f>
        <v>1595.2099994742653</v>
      </c>
      <c r="M37" s="35">
        <v>0</v>
      </c>
      <c r="N37" s="35"/>
      <c r="O37" s="35">
        <v>0</v>
      </c>
      <c r="P37" s="35"/>
      <c r="Q37" s="35">
        <v>0</v>
      </c>
      <c r="R37" s="35"/>
      <c r="S37" s="35">
        <v>0</v>
      </c>
      <c r="T37" s="35">
        <v>0</v>
      </c>
      <c r="U37" s="35">
        <v>0</v>
      </c>
      <c r="V37" s="35">
        <v>0</v>
      </c>
      <c r="W37" s="46">
        <f>G37</f>
        <v>6610938.7599999998</v>
      </c>
      <c r="X37" s="165">
        <v>2016</v>
      </c>
      <c r="Y37" s="165">
        <v>2016</v>
      </c>
      <c r="Z37" s="176">
        <f t="shared" si="10"/>
        <v>16</v>
      </c>
    </row>
    <row r="38" spans="1:26" s="120" customFormat="1" ht="20.100000000000001" customHeight="1">
      <c r="A38" s="185" t="s">
        <v>208</v>
      </c>
      <c r="B38" s="185"/>
      <c r="C38" s="148"/>
      <c r="D38" s="165"/>
      <c r="E38" s="28">
        <v>0</v>
      </c>
      <c r="F38" s="28">
        <v>0</v>
      </c>
      <c r="G38" s="19">
        <v>0</v>
      </c>
      <c r="H38" s="28">
        <v>0</v>
      </c>
      <c r="I38" s="28"/>
      <c r="J38" s="28">
        <v>0</v>
      </c>
      <c r="K38" s="28">
        <v>0</v>
      </c>
      <c r="L38" s="28"/>
      <c r="M38" s="28">
        <v>0</v>
      </c>
      <c r="N38" s="28"/>
      <c r="O38" s="28">
        <v>0</v>
      </c>
      <c r="P38" s="28"/>
      <c r="Q38" s="28">
        <v>0</v>
      </c>
      <c r="R38" s="28"/>
      <c r="S38" s="28">
        <v>0</v>
      </c>
      <c r="T38" s="28">
        <v>0</v>
      </c>
      <c r="U38" s="28">
        <v>0</v>
      </c>
      <c r="V38" s="28">
        <v>0</v>
      </c>
      <c r="W38" s="19">
        <v>0</v>
      </c>
      <c r="X38" s="20" t="s">
        <v>447</v>
      </c>
      <c r="Y38" s="20" t="s">
        <v>447</v>
      </c>
      <c r="Z38" s="178"/>
    </row>
    <row r="39" spans="1:26" s="120" customFormat="1" ht="20.100000000000001" customHeight="1">
      <c r="A39" s="185" t="s">
        <v>206</v>
      </c>
      <c r="B39" s="185"/>
      <c r="C39" s="148"/>
      <c r="D39" s="165"/>
      <c r="E39" s="29">
        <f>SUM(E19:E21)</f>
        <v>9252.5999999999985</v>
      </c>
      <c r="F39" s="29">
        <f>SUM(F19:F21)</f>
        <v>8585.7999999999993</v>
      </c>
      <c r="G39" s="19">
        <f t="shared" ref="G39:W39" si="12">SUM(G19:G21)</f>
        <v>19673994.629999999</v>
      </c>
      <c r="H39" s="28">
        <f t="shared" si="12"/>
        <v>9472250.0300000012</v>
      </c>
      <c r="I39" s="28"/>
      <c r="J39" s="28">
        <f t="shared" si="12"/>
        <v>0</v>
      </c>
      <c r="K39" s="28">
        <f t="shared" si="12"/>
        <v>9977844.3300000001</v>
      </c>
      <c r="L39" s="28"/>
      <c r="M39" s="28">
        <f t="shared" si="12"/>
        <v>0</v>
      </c>
      <c r="N39" s="28"/>
      <c r="O39" s="28">
        <f t="shared" si="12"/>
        <v>0</v>
      </c>
      <c r="P39" s="28"/>
      <c r="Q39" s="28">
        <f t="shared" si="12"/>
        <v>223900.27</v>
      </c>
      <c r="R39" s="28"/>
      <c r="S39" s="28">
        <f t="shared" si="12"/>
        <v>0</v>
      </c>
      <c r="T39" s="28">
        <f t="shared" si="12"/>
        <v>0</v>
      </c>
      <c r="U39" s="28">
        <f t="shared" si="12"/>
        <v>0</v>
      </c>
      <c r="V39" s="28">
        <f t="shared" si="12"/>
        <v>0</v>
      </c>
      <c r="W39" s="19">
        <f t="shared" si="12"/>
        <v>19673994.629999999</v>
      </c>
      <c r="X39" s="20" t="s">
        <v>447</v>
      </c>
      <c r="Y39" s="20" t="s">
        <v>447</v>
      </c>
      <c r="Z39" s="178"/>
    </row>
    <row r="40" spans="1:26" s="120" customFormat="1" ht="20.100000000000001" customHeight="1">
      <c r="A40" s="185" t="s">
        <v>207</v>
      </c>
      <c r="B40" s="185"/>
      <c r="C40" s="148"/>
      <c r="D40" s="165"/>
      <c r="E40" s="28">
        <f>SUM(E22:E37)</f>
        <v>45368.44</v>
      </c>
      <c r="F40" s="29">
        <f>SUM(F22:F37)</f>
        <v>41975.7</v>
      </c>
      <c r="G40" s="19">
        <f t="shared" ref="G40:W40" si="13">SUM(G22:G37)</f>
        <v>86313723.930000007</v>
      </c>
      <c r="H40" s="28">
        <f t="shared" si="13"/>
        <v>49299270.839999996</v>
      </c>
      <c r="I40" s="28"/>
      <c r="J40" s="28">
        <f t="shared" si="13"/>
        <v>0</v>
      </c>
      <c r="K40" s="28">
        <f t="shared" si="13"/>
        <v>36437224.779999994</v>
      </c>
      <c r="L40" s="28"/>
      <c r="M40" s="28">
        <f t="shared" si="13"/>
        <v>0</v>
      </c>
      <c r="N40" s="28"/>
      <c r="O40" s="28">
        <f t="shared" si="13"/>
        <v>355750.93</v>
      </c>
      <c r="P40" s="28"/>
      <c r="Q40" s="28">
        <f t="shared" si="13"/>
        <v>221477.38</v>
      </c>
      <c r="R40" s="28"/>
      <c r="S40" s="28">
        <f t="shared" si="13"/>
        <v>0</v>
      </c>
      <c r="T40" s="28">
        <f t="shared" si="13"/>
        <v>0</v>
      </c>
      <c r="U40" s="28">
        <f t="shared" si="13"/>
        <v>0</v>
      </c>
      <c r="V40" s="28">
        <f t="shared" si="13"/>
        <v>0</v>
      </c>
      <c r="W40" s="19">
        <f t="shared" si="13"/>
        <v>86313723.930000007</v>
      </c>
      <c r="X40" s="20" t="s">
        <v>447</v>
      </c>
      <c r="Y40" s="20" t="s">
        <v>447</v>
      </c>
      <c r="Z40" s="178"/>
    </row>
    <row r="41" spans="1:26" s="120" customFormat="1" ht="18" customHeight="1">
      <c r="A41" s="187" t="s">
        <v>113</v>
      </c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23"/>
      <c r="Y41" s="123"/>
      <c r="Z41" s="178"/>
    </row>
    <row r="42" spans="1:26" s="122" customFormat="1" ht="18" customHeight="1">
      <c r="A42" s="165">
        <f>A37+1</f>
        <v>20</v>
      </c>
      <c r="B42" s="24" t="s">
        <v>29</v>
      </c>
      <c r="C42" s="149">
        <v>1955</v>
      </c>
      <c r="D42" s="25"/>
      <c r="E42" s="49">
        <v>2377.5</v>
      </c>
      <c r="F42" s="31">
        <v>2172.1</v>
      </c>
      <c r="G42" s="46">
        <f>SUM(H42:S42)</f>
        <v>20050963.300000001</v>
      </c>
      <c r="H42" s="32">
        <v>7706355.0800000001</v>
      </c>
      <c r="I42" s="32"/>
      <c r="J42" s="35">
        <v>0</v>
      </c>
      <c r="K42" s="33">
        <v>3875014.98</v>
      </c>
      <c r="L42" s="35"/>
      <c r="M42" s="35">
        <v>0</v>
      </c>
      <c r="N42" s="35"/>
      <c r="O42" s="33">
        <v>7369593.2400000002</v>
      </c>
      <c r="P42" s="35"/>
      <c r="Q42" s="35">
        <v>0</v>
      </c>
      <c r="R42" s="35"/>
      <c r="S42" s="35">
        <v>1100000</v>
      </c>
      <c r="T42" s="34">
        <f>ROUND(G42*0.4474,2)-0.32</f>
        <v>8970800.6600000001</v>
      </c>
      <c r="U42" s="35">
        <v>0</v>
      </c>
      <c r="V42" s="35">
        <f>G42-T42</f>
        <v>11080162.640000001</v>
      </c>
      <c r="W42" s="46">
        <v>0</v>
      </c>
      <c r="X42" s="165">
        <v>2014</v>
      </c>
      <c r="Y42" s="165">
        <v>2015</v>
      </c>
      <c r="Z42" s="176"/>
    </row>
    <row r="43" spans="1:26" s="122" customFormat="1" ht="18" customHeight="1">
      <c r="A43" s="165">
        <f>A42+1</f>
        <v>21</v>
      </c>
      <c r="B43" s="24" t="s">
        <v>18</v>
      </c>
      <c r="C43" s="149">
        <v>1940</v>
      </c>
      <c r="D43" s="25"/>
      <c r="E43" s="49">
        <v>2296.6999999999998</v>
      </c>
      <c r="F43" s="31">
        <v>1768.7</v>
      </c>
      <c r="G43" s="46">
        <f>SUM(H43:S43)</f>
        <v>8493700.5099999998</v>
      </c>
      <c r="H43" s="35">
        <v>0</v>
      </c>
      <c r="I43" s="35"/>
      <c r="J43" s="35">
        <v>0</v>
      </c>
      <c r="K43" s="35">
        <v>2141308.16</v>
      </c>
      <c r="L43" s="35"/>
      <c r="M43" s="35">
        <v>0</v>
      </c>
      <c r="N43" s="35"/>
      <c r="O43" s="35">
        <v>6352392.3499999996</v>
      </c>
      <c r="P43" s="35"/>
      <c r="Q43" s="35">
        <v>0</v>
      </c>
      <c r="R43" s="35"/>
      <c r="S43" s="35">
        <v>0</v>
      </c>
      <c r="T43" s="34">
        <f>3931815.18-131733.57</f>
        <v>3800081.6100000003</v>
      </c>
      <c r="U43" s="35">
        <v>0</v>
      </c>
      <c r="V43" s="35">
        <f>G43-T43</f>
        <v>4693618.8999999994</v>
      </c>
      <c r="W43" s="46">
        <v>0</v>
      </c>
      <c r="X43" s="165">
        <v>2014</v>
      </c>
      <c r="Y43" s="165">
        <v>2015</v>
      </c>
      <c r="Z43" s="176"/>
    </row>
    <row r="44" spans="1:26" s="122" customFormat="1" ht="18" customHeight="1">
      <c r="A44" s="165">
        <f t="shared" ref="A44:A54" si="14">A43+1</f>
        <v>22</v>
      </c>
      <c r="B44" s="24" t="s">
        <v>118</v>
      </c>
      <c r="C44" s="149">
        <v>1959</v>
      </c>
      <c r="D44" s="25"/>
      <c r="E44" s="49">
        <v>4325.6000000000004</v>
      </c>
      <c r="F44" s="36">
        <v>3552.5</v>
      </c>
      <c r="G44" s="46">
        <f>SUM(H44:S44)</f>
        <v>5442223.96</v>
      </c>
      <c r="H44" s="35">
        <v>0</v>
      </c>
      <c r="I44" s="35"/>
      <c r="J44" s="35">
        <v>0</v>
      </c>
      <c r="K44" s="35">
        <f>940173+14102.6</f>
        <v>954275.6</v>
      </c>
      <c r="L44" s="35"/>
      <c r="M44" s="35">
        <v>0</v>
      </c>
      <c r="N44" s="35"/>
      <c r="O44" s="35">
        <v>4487948.3600000003</v>
      </c>
      <c r="P44" s="35"/>
      <c r="Q44" s="35">
        <v>0</v>
      </c>
      <c r="R44" s="35"/>
      <c r="S44" s="35">
        <v>0</v>
      </c>
      <c r="T44" s="34">
        <f>2434851-32.2</f>
        <v>2434818.7999999998</v>
      </c>
      <c r="U44" s="35">
        <v>0</v>
      </c>
      <c r="V44" s="35">
        <f>G44-T44</f>
        <v>3007405.16</v>
      </c>
      <c r="W44" s="46">
        <v>0</v>
      </c>
      <c r="X44" s="165">
        <v>2014</v>
      </c>
      <c r="Y44" s="165">
        <v>2015</v>
      </c>
      <c r="Z44" s="176"/>
    </row>
    <row r="45" spans="1:26" s="122" customFormat="1" ht="18" customHeight="1">
      <c r="A45" s="165">
        <f t="shared" si="14"/>
        <v>23</v>
      </c>
      <c r="B45" s="24" t="s">
        <v>151</v>
      </c>
      <c r="C45" s="149">
        <v>1935</v>
      </c>
      <c r="D45" s="25"/>
      <c r="E45" s="49">
        <v>3476.4</v>
      </c>
      <c r="F45" s="36">
        <v>2863.4</v>
      </c>
      <c r="G45" s="46">
        <f>H45+J45+K45+M45+O45+Q45+S45</f>
        <v>3748403.47</v>
      </c>
      <c r="H45" s="35">
        <v>0</v>
      </c>
      <c r="I45" s="35"/>
      <c r="J45" s="35">
        <v>0</v>
      </c>
      <c r="K45" s="35">
        <v>0</v>
      </c>
      <c r="L45" s="35"/>
      <c r="M45" s="35">
        <v>0</v>
      </c>
      <c r="N45" s="35"/>
      <c r="O45" s="35">
        <v>0</v>
      </c>
      <c r="P45" s="35"/>
      <c r="Q45" s="35">
        <v>0</v>
      </c>
      <c r="R45" s="35"/>
      <c r="S45" s="35">
        <v>3748403.47</v>
      </c>
      <c r="T45" s="35">
        <v>0</v>
      </c>
      <c r="U45" s="35">
        <v>0</v>
      </c>
      <c r="V45" s="35">
        <v>2960532.12</v>
      </c>
      <c r="W45" s="46">
        <v>787871.35</v>
      </c>
      <c r="X45" s="165">
        <v>2015</v>
      </c>
      <c r="Y45" s="165">
        <v>2017</v>
      </c>
      <c r="Z45" s="177">
        <f>Z37+1</f>
        <v>17</v>
      </c>
    </row>
    <row r="46" spans="1:26" s="122" customFormat="1" ht="18" customHeight="1">
      <c r="A46" s="165">
        <f t="shared" si="14"/>
        <v>24</v>
      </c>
      <c r="B46" s="24" t="s">
        <v>152</v>
      </c>
      <c r="C46" s="149">
        <v>1959</v>
      </c>
      <c r="D46" s="25"/>
      <c r="E46" s="49">
        <v>3945.6</v>
      </c>
      <c r="F46" s="36">
        <v>3704.3</v>
      </c>
      <c r="G46" s="46">
        <f>H46+J46+K46+M46+O46+Q46+S46</f>
        <v>25406873.740000002</v>
      </c>
      <c r="H46" s="35">
        <v>0</v>
      </c>
      <c r="I46" s="35"/>
      <c r="J46" s="35">
        <v>0</v>
      </c>
      <c r="K46" s="35">
        <v>4539673.62</v>
      </c>
      <c r="L46" s="35">
        <f>K46/F46</f>
        <v>1225.5145695543017</v>
      </c>
      <c r="M46" s="35">
        <v>0</v>
      </c>
      <c r="N46" s="35"/>
      <c r="O46" s="35">
        <v>20867200.120000001</v>
      </c>
      <c r="P46" s="35">
        <f>O46/F46</f>
        <v>5633.2370812299223</v>
      </c>
      <c r="Q46" s="35">
        <v>0</v>
      </c>
      <c r="R46" s="35"/>
      <c r="S46" s="35">
        <v>0</v>
      </c>
      <c r="T46" s="35">
        <v>3861280.7</v>
      </c>
      <c r="U46" s="35">
        <v>0</v>
      </c>
      <c r="V46" s="35">
        <v>6351718.4400000004</v>
      </c>
      <c r="W46" s="46">
        <v>15193874.6</v>
      </c>
      <c r="X46" s="165">
        <v>2015</v>
      </c>
      <c r="Y46" s="165">
        <v>2016</v>
      </c>
      <c r="Z46" s="176">
        <f>Z45+1</f>
        <v>18</v>
      </c>
    </row>
    <row r="47" spans="1:26" s="122" customFormat="1" ht="18" customHeight="1">
      <c r="A47" s="165">
        <f t="shared" si="14"/>
        <v>25</v>
      </c>
      <c r="B47" s="24" t="s">
        <v>118</v>
      </c>
      <c r="C47" s="149">
        <v>1959</v>
      </c>
      <c r="D47" s="25"/>
      <c r="E47" s="49">
        <v>4325.6000000000004</v>
      </c>
      <c r="F47" s="36">
        <v>3552.5</v>
      </c>
      <c r="G47" s="46">
        <f>H47+J47+K47+M47+O47+Q47+S47</f>
        <v>8283520</v>
      </c>
      <c r="H47" s="35">
        <v>8283520</v>
      </c>
      <c r="I47" s="35">
        <f>H47/F47</f>
        <v>2331.7438423645322</v>
      </c>
      <c r="J47" s="35">
        <v>0</v>
      </c>
      <c r="K47" s="35">
        <v>0</v>
      </c>
      <c r="L47" s="35"/>
      <c r="M47" s="35">
        <v>0</v>
      </c>
      <c r="N47" s="35"/>
      <c r="O47" s="35">
        <v>0</v>
      </c>
      <c r="P47" s="35"/>
      <c r="Q47" s="35">
        <v>0</v>
      </c>
      <c r="R47" s="35"/>
      <c r="S47" s="35">
        <v>0</v>
      </c>
      <c r="T47" s="35">
        <v>1258911.1200000001</v>
      </c>
      <c r="U47" s="35">
        <v>0</v>
      </c>
      <c r="V47" s="35">
        <v>2070880</v>
      </c>
      <c r="W47" s="46">
        <v>4953728.88</v>
      </c>
      <c r="X47" s="165">
        <v>2015</v>
      </c>
      <c r="Y47" s="165">
        <v>2016</v>
      </c>
      <c r="Z47" s="176">
        <f t="shared" ref="Z47:Z54" si="15">Z46+1</f>
        <v>19</v>
      </c>
    </row>
    <row r="48" spans="1:26" s="122" customFormat="1" ht="18" customHeight="1">
      <c r="A48" s="165">
        <f t="shared" si="14"/>
        <v>26</v>
      </c>
      <c r="B48" s="37" t="s">
        <v>29</v>
      </c>
      <c r="C48" s="150">
        <v>1955</v>
      </c>
      <c r="D48" s="38"/>
      <c r="E48" s="31">
        <v>2377.5</v>
      </c>
      <c r="F48" s="31">
        <v>2172.1</v>
      </c>
      <c r="G48" s="46">
        <f>H48+J48+K48+M48+O48+Q48+S48</f>
        <v>1916009.41</v>
      </c>
      <c r="H48" s="35">
        <v>0</v>
      </c>
      <c r="I48" s="35"/>
      <c r="J48" s="35">
        <v>0</v>
      </c>
      <c r="K48" s="35">
        <v>0</v>
      </c>
      <c r="L48" s="35"/>
      <c r="M48" s="35">
        <v>0</v>
      </c>
      <c r="N48" s="35"/>
      <c r="O48" s="39">
        <v>1916009.41</v>
      </c>
      <c r="P48" s="35">
        <f>O48/F48</f>
        <v>882.1</v>
      </c>
      <c r="Q48" s="35">
        <v>0</v>
      </c>
      <c r="R48" s="35"/>
      <c r="S48" s="35">
        <v>0</v>
      </c>
      <c r="T48" s="35">
        <v>0</v>
      </c>
      <c r="U48" s="35">
        <v>0</v>
      </c>
      <c r="V48" s="35">
        <v>0</v>
      </c>
      <c r="W48" s="40">
        <f>G48</f>
        <v>1916009.41</v>
      </c>
      <c r="X48" s="165">
        <v>2016</v>
      </c>
      <c r="Y48" s="165">
        <v>2017</v>
      </c>
      <c r="Z48" s="176">
        <f t="shared" si="15"/>
        <v>20</v>
      </c>
    </row>
    <row r="49" spans="1:26" s="122" customFormat="1" ht="18" customHeight="1">
      <c r="A49" s="165">
        <f t="shared" si="14"/>
        <v>27</v>
      </c>
      <c r="B49" s="37" t="s">
        <v>155</v>
      </c>
      <c r="C49" s="150">
        <v>1953</v>
      </c>
      <c r="D49" s="38"/>
      <c r="E49" s="36">
        <v>5543.5</v>
      </c>
      <c r="F49" s="36">
        <v>4717.3</v>
      </c>
      <c r="G49" s="46">
        <f>H49+J49+K49+M49+O49+Q49+S49</f>
        <v>11686214.460000001</v>
      </c>
      <c r="H49" s="35">
        <v>0</v>
      </c>
      <c r="I49" s="35"/>
      <c r="J49" s="35">
        <v>0</v>
      </c>
      <c r="K49" s="39">
        <v>7525084.1299999999</v>
      </c>
      <c r="L49" s="35">
        <f>K49/F49</f>
        <v>1595.2099993640429</v>
      </c>
      <c r="M49" s="35">
        <v>0</v>
      </c>
      <c r="N49" s="35"/>
      <c r="O49" s="39">
        <v>4161130.33</v>
      </c>
      <c r="P49" s="35">
        <f>O49/F49</f>
        <v>882.1</v>
      </c>
      <c r="Q49" s="35">
        <v>0</v>
      </c>
      <c r="R49" s="35"/>
      <c r="S49" s="35">
        <v>0</v>
      </c>
      <c r="T49" s="35">
        <v>0</v>
      </c>
      <c r="U49" s="35">
        <v>0</v>
      </c>
      <c r="V49" s="35">
        <v>0</v>
      </c>
      <c r="W49" s="40">
        <f>G49</f>
        <v>11686214.460000001</v>
      </c>
      <c r="X49" s="165">
        <v>2016</v>
      </c>
      <c r="Y49" s="165">
        <v>2017</v>
      </c>
      <c r="Z49" s="176">
        <f t="shared" si="15"/>
        <v>21</v>
      </c>
    </row>
    <row r="50" spans="1:26" s="122" customFormat="1" ht="18" customHeight="1">
      <c r="A50" s="165">
        <f t="shared" si="14"/>
        <v>28</v>
      </c>
      <c r="B50" s="37" t="s">
        <v>154</v>
      </c>
      <c r="C50" s="150">
        <v>1952</v>
      </c>
      <c r="D50" s="38"/>
      <c r="E50" s="36">
        <v>2375.8000000000002</v>
      </c>
      <c r="F50" s="36">
        <v>1821.6</v>
      </c>
      <c r="G50" s="46">
        <f>H50+J50+K50+M50+O50+Q50+S50</f>
        <v>4512667.9000000004</v>
      </c>
      <c r="H50" s="35">
        <v>0</v>
      </c>
      <c r="I50" s="35"/>
      <c r="J50" s="35">
        <v>0</v>
      </c>
      <c r="K50" s="39">
        <v>2905834.54</v>
      </c>
      <c r="L50" s="35">
        <f>K50/F50</f>
        <v>1595.2100021958718</v>
      </c>
      <c r="M50" s="35">
        <v>0</v>
      </c>
      <c r="N50" s="35"/>
      <c r="O50" s="39">
        <v>1606833.36</v>
      </c>
      <c r="P50" s="35">
        <f>O50/F50</f>
        <v>882.10000000000014</v>
      </c>
      <c r="Q50" s="35">
        <v>0</v>
      </c>
      <c r="R50" s="35"/>
      <c r="S50" s="35">
        <v>0</v>
      </c>
      <c r="T50" s="35">
        <v>0</v>
      </c>
      <c r="U50" s="35">
        <v>0</v>
      </c>
      <c r="V50" s="35">
        <v>0</v>
      </c>
      <c r="W50" s="40">
        <f>G50</f>
        <v>4512667.9000000004</v>
      </c>
      <c r="X50" s="165">
        <v>2016</v>
      </c>
      <c r="Y50" s="165">
        <v>2017</v>
      </c>
      <c r="Z50" s="176">
        <f t="shared" si="15"/>
        <v>22</v>
      </c>
    </row>
    <row r="51" spans="1:26" s="122" customFormat="1" ht="18" customHeight="1">
      <c r="A51" s="165">
        <f t="shared" si="14"/>
        <v>29</v>
      </c>
      <c r="B51" s="37" t="s">
        <v>250</v>
      </c>
      <c r="C51" s="151">
        <v>1949</v>
      </c>
      <c r="D51" s="41"/>
      <c r="E51" s="42">
        <v>7532.3</v>
      </c>
      <c r="F51" s="42">
        <v>5486.8</v>
      </c>
      <c r="G51" s="46">
        <f>H51+J51+K51+M51+O51+Q51+S51</f>
        <v>4850550.67</v>
      </c>
      <c r="H51" s="39">
        <v>4850550.67</v>
      </c>
      <c r="I51" s="124">
        <f>H51/F51</f>
        <v>884.03999963548881</v>
      </c>
      <c r="J51" s="35">
        <v>0</v>
      </c>
      <c r="K51" s="35">
        <v>0</v>
      </c>
      <c r="L51" s="35"/>
      <c r="M51" s="35">
        <v>0</v>
      </c>
      <c r="N51" s="35"/>
      <c r="O51" s="35">
        <v>0</v>
      </c>
      <c r="P51" s="35"/>
      <c r="Q51" s="35">
        <v>0</v>
      </c>
      <c r="R51" s="35"/>
      <c r="S51" s="35">
        <v>0</v>
      </c>
      <c r="T51" s="35">
        <v>0</v>
      </c>
      <c r="U51" s="35">
        <v>0</v>
      </c>
      <c r="V51" s="35">
        <v>0</v>
      </c>
      <c r="W51" s="40">
        <f>G51</f>
        <v>4850550.67</v>
      </c>
      <c r="X51" s="165">
        <v>2016</v>
      </c>
      <c r="Y51" s="165">
        <v>2016</v>
      </c>
      <c r="Z51" s="176">
        <f t="shared" si="15"/>
        <v>23</v>
      </c>
    </row>
    <row r="52" spans="1:26" s="122" customFormat="1" ht="18" customHeight="1">
      <c r="A52" s="165">
        <f t="shared" si="14"/>
        <v>30</v>
      </c>
      <c r="B52" s="37" t="s">
        <v>153</v>
      </c>
      <c r="C52" s="150">
        <v>1960</v>
      </c>
      <c r="D52" s="38"/>
      <c r="E52" s="36">
        <v>4286.7</v>
      </c>
      <c r="F52" s="36">
        <v>3981.2</v>
      </c>
      <c r="G52" s="46">
        <f>H52+J52+K52+M52+O52+Q52+S52</f>
        <v>15208940.43</v>
      </c>
      <c r="H52" s="39">
        <v>8056157.2599999998</v>
      </c>
      <c r="I52" s="35">
        <f>H52/F52</f>
        <v>2023.55</v>
      </c>
      <c r="J52" s="35">
        <v>0</v>
      </c>
      <c r="K52" s="39">
        <v>3640966.65</v>
      </c>
      <c r="L52" s="35">
        <f>K52/F52</f>
        <v>914.54000050236107</v>
      </c>
      <c r="M52" s="35">
        <v>0</v>
      </c>
      <c r="N52" s="35"/>
      <c r="O52" s="39">
        <v>3511816.52</v>
      </c>
      <c r="P52" s="35">
        <f>O52/F52</f>
        <v>882.1</v>
      </c>
      <c r="Q52" s="35">
        <v>0</v>
      </c>
      <c r="R52" s="35"/>
      <c r="S52" s="35">
        <v>0</v>
      </c>
      <c r="T52" s="35">
        <v>0</v>
      </c>
      <c r="U52" s="35">
        <v>0</v>
      </c>
      <c r="V52" s="35">
        <v>0</v>
      </c>
      <c r="W52" s="40">
        <f>G52</f>
        <v>15208940.43</v>
      </c>
      <c r="X52" s="165">
        <v>2016</v>
      </c>
      <c r="Y52" s="165">
        <v>2016</v>
      </c>
      <c r="Z52" s="176">
        <f t="shared" si="15"/>
        <v>24</v>
      </c>
    </row>
    <row r="53" spans="1:26" s="122" customFormat="1" ht="18" customHeight="1">
      <c r="A53" s="165">
        <f t="shared" si="14"/>
        <v>31</v>
      </c>
      <c r="B53" s="43" t="s">
        <v>605</v>
      </c>
      <c r="C53" s="150">
        <v>1960</v>
      </c>
      <c r="D53" s="38"/>
      <c r="E53" s="55">
        <v>2906.3</v>
      </c>
      <c r="F53" s="55">
        <v>2724</v>
      </c>
      <c r="G53" s="46">
        <f>H53+J53+K53+M53+O53+Q53+S53</f>
        <v>6748192.4399999995</v>
      </c>
      <c r="H53" s="35">
        <v>0</v>
      </c>
      <c r="I53" s="35"/>
      <c r="J53" s="35">
        <v>0</v>
      </c>
      <c r="K53" s="169">
        <v>4345352.04</v>
      </c>
      <c r="L53" s="35">
        <f>K53/F53</f>
        <v>1595.21</v>
      </c>
      <c r="M53" s="35">
        <v>0</v>
      </c>
      <c r="N53" s="35"/>
      <c r="O53" s="169">
        <f>2402840.4-S53</f>
        <v>2286235.1599999997</v>
      </c>
      <c r="P53" s="35">
        <f>O53/F53</f>
        <v>839.29337738619665</v>
      </c>
      <c r="Q53" s="35">
        <v>0</v>
      </c>
      <c r="R53" s="35"/>
      <c r="S53" s="35">
        <v>116605.24</v>
      </c>
      <c r="T53" s="35">
        <v>0</v>
      </c>
      <c r="U53" s="35">
        <v>0</v>
      </c>
      <c r="V53" s="35">
        <v>0</v>
      </c>
      <c r="W53" s="40">
        <f>G53</f>
        <v>6748192.4399999995</v>
      </c>
      <c r="X53" s="165">
        <v>2016</v>
      </c>
      <c r="Y53" s="165">
        <v>2017</v>
      </c>
      <c r="Z53" s="176">
        <f t="shared" si="15"/>
        <v>25</v>
      </c>
    </row>
    <row r="54" spans="1:26" s="122" customFormat="1" ht="18" customHeight="1">
      <c r="A54" s="165">
        <f t="shared" si="14"/>
        <v>32</v>
      </c>
      <c r="B54" s="43" t="s">
        <v>607</v>
      </c>
      <c r="C54" s="150">
        <v>1963</v>
      </c>
      <c r="D54" s="38"/>
      <c r="E54" s="55">
        <v>3178.4</v>
      </c>
      <c r="F54" s="55">
        <v>2998.4</v>
      </c>
      <c r="G54" s="46">
        <f>H54+J54+K54+M54+O54+Q54+S54</f>
        <v>7427966.2999999998</v>
      </c>
      <c r="H54" s="35">
        <v>0</v>
      </c>
      <c r="I54" s="35"/>
      <c r="J54" s="35">
        <v>0</v>
      </c>
      <c r="K54" s="169">
        <v>4783077.66</v>
      </c>
      <c r="L54" s="35">
        <f>K54/F54</f>
        <v>1595.2099986659553</v>
      </c>
      <c r="M54" s="35">
        <v>0</v>
      </c>
      <c r="N54" s="35"/>
      <c r="O54" s="170">
        <f>2644888.64-S54</f>
        <v>2515085.1</v>
      </c>
      <c r="P54" s="28">
        <f>O54/F54</f>
        <v>838.80906483457841</v>
      </c>
      <c r="Q54" s="28">
        <v>0</v>
      </c>
      <c r="R54" s="28"/>
      <c r="S54" s="28">
        <v>129803.54</v>
      </c>
      <c r="T54" s="35">
        <v>0</v>
      </c>
      <c r="U54" s="35">
        <v>0</v>
      </c>
      <c r="V54" s="35">
        <v>0</v>
      </c>
      <c r="W54" s="40">
        <f>G54</f>
        <v>7427966.2999999998</v>
      </c>
      <c r="X54" s="165">
        <v>2016</v>
      </c>
      <c r="Y54" s="165">
        <v>2017</v>
      </c>
      <c r="Z54" s="176">
        <f t="shared" si="15"/>
        <v>26</v>
      </c>
    </row>
    <row r="55" spans="1:26" s="120" customFormat="1" ht="19.5" customHeight="1">
      <c r="A55" s="185" t="s">
        <v>208</v>
      </c>
      <c r="B55" s="185"/>
      <c r="C55" s="149"/>
      <c r="D55" s="25"/>
      <c r="E55" s="28">
        <v>0</v>
      </c>
      <c r="F55" s="28">
        <v>0</v>
      </c>
      <c r="G55" s="19">
        <v>0</v>
      </c>
      <c r="H55" s="28">
        <v>0</v>
      </c>
      <c r="I55" s="28"/>
      <c r="J55" s="28">
        <v>0</v>
      </c>
      <c r="K55" s="28">
        <v>0</v>
      </c>
      <c r="L55" s="28"/>
      <c r="M55" s="28">
        <v>0</v>
      </c>
      <c r="N55" s="28"/>
      <c r="O55" s="28">
        <v>0</v>
      </c>
      <c r="P55" s="28"/>
      <c r="Q55" s="28">
        <v>0</v>
      </c>
      <c r="R55" s="28"/>
      <c r="S55" s="28">
        <v>0</v>
      </c>
      <c r="T55" s="28">
        <v>0</v>
      </c>
      <c r="U55" s="28">
        <v>0</v>
      </c>
      <c r="V55" s="28">
        <v>0</v>
      </c>
      <c r="W55" s="19">
        <v>0</v>
      </c>
      <c r="X55" s="20" t="s">
        <v>447</v>
      </c>
      <c r="Y55" s="20" t="s">
        <v>447</v>
      </c>
      <c r="Z55" s="178"/>
    </row>
    <row r="56" spans="1:26" s="120" customFormat="1" ht="19.5" customHeight="1">
      <c r="A56" s="185" t="s">
        <v>206</v>
      </c>
      <c r="B56" s="185"/>
      <c r="C56" s="152"/>
      <c r="D56" s="163"/>
      <c r="E56" s="29">
        <f>SUM(E42:E44)</f>
        <v>8999.7999999999993</v>
      </c>
      <c r="F56" s="29">
        <f>SUM(F42:F44)</f>
        <v>7493.3</v>
      </c>
      <c r="G56" s="19">
        <f t="shared" ref="G56:W56" si="16">SUM(G42:G44)</f>
        <v>33986887.770000003</v>
      </c>
      <c r="H56" s="28">
        <f t="shared" si="16"/>
        <v>7706355.0800000001</v>
      </c>
      <c r="I56" s="28"/>
      <c r="J56" s="28">
        <f t="shared" si="16"/>
        <v>0</v>
      </c>
      <c r="K56" s="28">
        <f t="shared" si="16"/>
        <v>6970598.7400000002</v>
      </c>
      <c r="L56" s="28"/>
      <c r="M56" s="28">
        <f t="shared" si="16"/>
        <v>0</v>
      </c>
      <c r="N56" s="28"/>
      <c r="O56" s="28">
        <f t="shared" si="16"/>
        <v>18209933.949999999</v>
      </c>
      <c r="P56" s="28"/>
      <c r="Q56" s="28">
        <f t="shared" si="16"/>
        <v>0</v>
      </c>
      <c r="R56" s="28"/>
      <c r="S56" s="28">
        <f t="shared" si="16"/>
        <v>1100000</v>
      </c>
      <c r="T56" s="28">
        <f t="shared" si="16"/>
        <v>15205701.07</v>
      </c>
      <c r="U56" s="28">
        <f t="shared" si="16"/>
        <v>0</v>
      </c>
      <c r="V56" s="28">
        <f t="shared" si="16"/>
        <v>18781186.699999999</v>
      </c>
      <c r="W56" s="19">
        <f t="shared" si="16"/>
        <v>0</v>
      </c>
      <c r="X56" s="20" t="s">
        <v>447</v>
      </c>
      <c r="Y56" s="20" t="s">
        <v>447</v>
      </c>
      <c r="Z56" s="178"/>
    </row>
    <row r="57" spans="1:26" s="120" customFormat="1" ht="19.5" customHeight="1">
      <c r="A57" s="185" t="s">
        <v>207</v>
      </c>
      <c r="B57" s="185"/>
      <c r="C57" s="152"/>
      <c r="D57" s="163"/>
      <c r="E57" s="29">
        <f>SUM(E45:E54)</f>
        <v>39948.1</v>
      </c>
      <c r="F57" s="29">
        <f>SUM(F45:F54)</f>
        <v>34021.599999999999</v>
      </c>
      <c r="G57" s="19">
        <f t="shared" ref="G57:W57" si="17">SUM(G45:G54)</f>
        <v>89789338.819999993</v>
      </c>
      <c r="H57" s="28">
        <f t="shared" si="17"/>
        <v>21190227.93</v>
      </c>
      <c r="I57" s="28"/>
      <c r="J57" s="28">
        <f t="shared" si="17"/>
        <v>0</v>
      </c>
      <c r="K57" s="28">
        <f t="shared" si="17"/>
        <v>27739988.639999997</v>
      </c>
      <c r="L57" s="28"/>
      <c r="M57" s="28">
        <f t="shared" si="17"/>
        <v>0</v>
      </c>
      <c r="N57" s="28"/>
      <c r="O57" s="28">
        <f t="shared" si="17"/>
        <v>36864310</v>
      </c>
      <c r="P57" s="28"/>
      <c r="Q57" s="28">
        <f t="shared" si="17"/>
        <v>0</v>
      </c>
      <c r="R57" s="28"/>
      <c r="S57" s="28">
        <f t="shared" si="17"/>
        <v>3994812.2500000005</v>
      </c>
      <c r="T57" s="28">
        <f t="shared" si="17"/>
        <v>5120191.82</v>
      </c>
      <c r="U57" s="28">
        <f t="shared" si="17"/>
        <v>0</v>
      </c>
      <c r="V57" s="28">
        <f t="shared" si="17"/>
        <v>11383130.560000001</v>
      </c>
      <c r="W57" s="19">
        <f t="shared" si="17"/>
        <v>73286016.439999998</v>
      </c>
      <c r="X57" s="20" t="s">
        <v>447</v>
      </c>
      <c r="Y57" s="20" t="s">
        <v>447</v>
      </c>
      <c r="Z57" s="178"/>
    </row>
    <row r="58" spans="1:26" s="120" customFormat="1" ht="16.5" customHeight="1">
      <c r="A58" s="187" t="s">
        <v>572</v>
      </c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7"/>
      <c r="U58" s="187"/>
      <c r="V58" s="187"/>
      <c r="W58" s="187"/>
      <c r="X58" s="163"/>
      <c r="Y58" s="163"/>
      <c r="Z58" s="178"/>
    </row>
    <row r="59" spans="1:26" s="120" customFormat="1" ht="18" customHeight="1">
      <c r="A59" s="165">
        <f>A54+1</f>
        <v>33</v>
      </c>
      <c r="B59" s="24" t="s">
        <v>573</v>
      </c>
      <c r="C59" s="148">
        <v>1963</v>
      </c>
      <c r="D59" s="51"/>
      <c r="E59" s="49">
        <v>1735.5</v>
      </c>
      <c r="F59" s="49">
        <v>1379.1</v>
      </c>
      <c r="G59" s="46">
        <f t="shared" ref="G59:G65" si="18">SUM(H59:S59)</f>
        <v>1270000</v>
      </c>
      <c r="H59" s="35">
        <v>1270000</v>
      </c>
      <c r="I59" s="35"/>
      <c r="J59" s="35">
        <v>0</v>
      </c>
      <c r="K59" s="35">
        <v>0</v>
      </c>
      <c r="L59" s="35"/>
      <c r="M59" s="35">
        <v>0</v>
      </c>
      <c r="N59" s="35"/>
      <c r="O59" s="35">
        <v>0</v>
      </c>
      <c r="P59" s="35"/>
      <c r="Q59" s="35">
        <v>0</v>
      </c>
      <c r="R59" s="35"/>
      <c r="S59" s="35">
        <v>0</v>
      </c>
      <c r="T59" s="35">
        <v>0</v>
      </c>
      <c r="U59" s="35">
        <v>0</v>
      </c>
      <c r="V59" s="35">
        <v>0</v>
      </c>
      <c r="W59" s="46">
        <f t="shared" ref="W59:W79" si="19">G59</f>
        <v>1270000</v>
      </c>
      <c r="X59" s="165">
        <v>2015</v>
      </c>
      <c r="Y59" s="165">
        <v>2015</v>
      </c>
      <c r="Z59" s="178"/>
    </row>
    <row r="60" spans="1:26" s="120" customFormat="1" ht="18" customHeight="1">
      <c r="A60" s="165">
        <f t="shared" ref="A60:A79" si="20">A59+1</f>
        <v>34</v>
      </c>
      <c r="B60" s="24" t="s">
        <v>574</v>
      </c>
      <c r="C60" s="148">
        <v>1961</v>
      </c>
      <c r="D60" s="51"/>
      <c r="E60" s="49">
        <v>1362.5</v>
      </c>
      <c r="F60" s="49">
        <v>1261.7</v>
      </c>
      <c r="G60" s="46">
        <f t="shared" si="18"/>
        <v>1300000</v>
      </c>
      <c r="H60" s="35">
        <v>1300000</v>
      </c>
      <c r="I60" s="35"/>
      <c r="J60" s="35">
        <v>0</v>
      </c>
      <c r="K60" s="35">
        <v>0</v>
      </c>
      <c r="L60" s="35"/>
      <c r="M60" s="35">
        <v>0</v>
      </c>
      <c r="N60" s="35"/>
      <c r="O60" s="35">
        <v>0</v>
      </c>
      <c r="P60" s="35"/>
      <c r="Q60" s="35">
        <v>0</v>
      </c>
      <c r="R60" s="35"/>
      <c r="S60" s="35">
        <v>0</v>
      </c>
      <c r="T60" s="35">
        <v>0</v>
      </c>
      <c r="U60" s="35">
        <v>0</v>
      </c>
      <c r="V60" s="35">
        <v>0</v>
      </c>
      <c r="W60" s="46">
        <f t="shared" si="19"/>
        <v>1300000</v>
      </c>
      <c r="X60" s="165">
        <v>2015</v>
      </c>
      <c r="Y60" s="165">
        <v>2015</v>
      </c>
      <c r="Z60" s="178"/>
    </row>
    <row r="61" spans="1:26" s="120" customFormat="1" ht="18" customHeight="1">
      <c r="A61" s="165">
        <f t="shared" si="20"/>
        <v>35</v>
      </c>
      <c r="B61" s="24" t="s">
        <v>575</v>
      </c>
      <c r="C61" s="148">
        <v>1957</v>
      </c>
      <c r="D61" s="51"/>
      <c r="E61" s="49">
        <v>671.1</v>
      </c>
      <c r="F61" s="49">
        <v>615</v>
      </c>
      <c r="G61" s="46">
        <f t="shared" si="18"/>
        <v>476254.63</v>
      </c>
      <c r="H61" s="35">
        <v>476254.63</v>
      </c>
      <c r="I61" s="35"/>
      <c r="J61" s="35">
        <v>0</v>
      </c>
      <c r="K61" s="35">
        <v>0</v>
      </c>
      <c r="L61" s="35"/>
      <c r="M61" s="35">
        <v>0</v>
      </c>
      <c r="N61" s="35"/>
      <c r="O61" s="35">
        <v>0</v>
      </c>
      <c r="P61" s="35"/>
      <c r="Q61" s="35">
        <v>0</v>
      </c>
      <c r="R61" s="35"/>
      <c r="S61" s="35">
        <v>0</v>
      </c>
      <c r="T61" s="35">
        <v>0</v>
      </c>
      <c r="U61" s="35">
        <v>0</v>
      </c>
      <c r="V61" s="35">
        <v>0</v>
      </c>
      <c r="W61" s="46">
        <f t="shared" si="19"/>
        <v>476254.63</v>
      </c>
      <c r="X61" s="165">
        <v>2015</v>
      </c>
      <c r="Y61" s="165">
        <v>2015</v>
      </c>
      <c r="Z61" s="178"/>
    </row>
    <row r="62" spans="1:26" s="120" customFormat="1" ht="18" customHeight="1">
      <c r="A62" s="165">
        <f t="shared" si="20"/>
        <v>36</v>
      </c>
      <c r="B62" s="24" t="s">
        <v>576</v>
      </c>
      <c r="C62" s="148">
        <v>1957</v>
      </c>
      <c r="D62" s="51"/>
      <c r="E62" s="49">
        <v>422.5</v>
      </c>
      <c r="F62" s="49">
        <v>380.7</v>
      </c>
      <c r="G62" s="46">
        <f t="shared" si="18"/>
        <v>392000</v>
      </c>
      <c r="H62" s="35">
        <v>392000</v>
      </c>
      <c r="I62" s="35"/>
      <c r="J62" s="35">
        <v>0</v>
      </c>
      <c r="K62" s="35">
        <v>0</v>
      </c>
      <c r="L62" s="35"/>
      <c r="M62" s="35">
        <v>0</v>
      </c>
      <c r="N62" s="35"/>
      <c r="O62" s="35">
        <v>0</v>
      </c>
      <c r="P62" s="35"/>
      <c r="Q62" s="35">
        <v>0</v>
      </c>
      <c r="R62" s="35"/>
      <c r="S62" s="35">
        <v>0</v>
      </c>
      <c r="T62" s="35">
        <v>0</v>
      </c>
      <c r="U62" s="35">
        <v>0</v>
      </c>
      <c r="V62" s="35">
        <v>0</v>
      </c>
      <c r="W62" s="46">
        <f t="shared" si="19"/>
        <v>392000</v>
      </c>
      <c r="X62" s="165">
        <v>2015</v>
      </c>
      <c r="Y62" s="165">
        <v>2015</v>
      </c>
      <c r="Z62" s="178"/>
    </row>
    <row r="63" spans="1:26" s="120" customFormat="1" ht="18" customHeight="1">
      <c r="A63" s="165">
        <f t="shared" si="20"/>
        <v>37</v>
      </c>
      <c r="B63" s="24" t="s">
        <v>577</v>
      </c>
      <c r="C63" s="148">
        <v>1957</v>
      </c>
      <c r="D63" s="51"/>
      <c r="E63" s="49">
        <v>691.2</v>
      </c>
      <c r="F63" s="49">
        <v>621.79999999999995</v>
      </c>
      <c r="G63" s="46">
        <f t="shared" si="18"/>
        <v>483715.73</v>
      </c>
      <c r="H63" s="35">
        <v>483715.73</v>
      </c>
      <c r="I63" s="35"/>
      <c r="J63" s="35">
        <v>0</v>
      </c>
      <c r="K63" s="35">
        <v>0</v>
      </c>
      <c r="L63" s="35"/>
      <c r="M63" s="35">
        <v>0</v>
      </c>
      <c r="N63" s="35"/>
      <c r="O63" s="35">
        <v>0</v>
      </c>
      <c r="P63" s="35"/>
      <c r="Q63" s="35">
        <v>0</v>
      </c>
      <c r="R63" s="35"/>
      <c r="S63" s="35">
        <v>0</v>
      </c>
      <c r="T63" s="35">
        <v>0</v>
      </c>
      <c r="U63" s="35">
        <v>0</v>
      </c>
      <c r="V63" s="35">
        <v>0</v>
      </c>
      <c r="W63" s="46">
        <f t="shared" si="19"/>
        <v>483715.73</v>
      </c>
      <c r="X63" s="165">
        <v>2015</v>
      </c>
      <c r="Y63" s="165">
        <v>2015</v>
      </c>
      <c r="Z63" s="178"/>
    </row>
    <row r="64" spans="1:26" s="120" customFormat="1" ht="18" customHeight="1">
      <c r="A64" s="165">
        <f t="shared" si="20"/>
        <v>38</v>
      </c>
      <c r="B64" s="24" t="s">
        <v>578</v>
      </c>
      <c r="C64" s="148">
        <v>1958</v>
      </c>
      <c r="D64" s="51"/>
      <c r="E64" s="49">
        <v>428.7</v>
      </c>
      <c r="F64" s="49">
        <v>387.3</v>
      </c>
      <c r="G64" s="46">
        <f t="shared" si="18"/>
        <v>397000</v>
      </c>
      <c r="H64" s="35">
        <v>397000</v>
      </c>
      <c r="I64" s="35"/>
      <c r="J64" s="35">
        <v>0</v>
      </c>
      <c r="K64" s="35">
        <v>0</v>
      </c>
      <c r="L64" s="35"/>
      <c r="M64" s="35">
        <v>0</v>
      </c>
      <c r="N64" s="35"/>
      <c r="O64" s="35">
        <v>0</v>
      </c>
      <c r="P64" s="35"/>
      <c r="Q64" s="35">
        <v>0</v>
      </c>
      <c r="R64" s="35"/>
      <c r="S64" s="35">
        <v>0</v>
      </c>
      <c r="T64" s="35">
        <v>0</v>
      </c>
      <c r="U64" s="35">
        <v>0</v>
      </c>
      <c r="V64" s="35">
        <v>0</v>
      </c>
      <c r="W64" s="46">
        <f t="shared" si="19"/>
        <v>397000</v>
      </c>
      <c r="X64" s="165">
        <v>2015</v>
      </c>
      <c r="Y64" s="165">
        <v>2015</v>
      </c>
      <c r="Z64" s="178"/>
    </row>
    <row r="65" spans="1:26" s="120" customFormat="1" ht="18" customHeight="1">
      <c r="A65" s="165">
        <f t="shared" si="20"/>
        <v>39</v>
      </c>
      <c r="B65" s="24" t="s">
        <v>579</v>
      </c>
      <c r="C65" s="148">
        <v>1958</v>
      </c>
      <c r="D65" s="51"/>
      <c r="E65" s="49">
        <v>1312.9</v>
      </c>
      <c r="F65" s="49">
        <v>1298.3</v>
      </c>
      <c r="G65" s="46">
        <f t="shared" si="18"/>
        <v>1342959.44</v>
      </c>
      <c r="H65" s="35">
        <v>1342959.44</v>
      </c>
      <c r="I65" s="35"/>
      <c r="J65" s="35">
        <v>0</v>
      </c>
      <c r="K65" s="35">
        <v>0</v>
      </c>
      <c r="L65" s="35"/>
      <c r="M65" s="35">
        <v>0</v>
      </c>
      <c r="N65" s="35"/>
      <c r="O65" s="35">
        <v>0</v>
      </c>
      <c r="P65" s="35"/>
      <c r="Q65" s="35">
        <v>0</v>
      </c>
      <c r="R65" s="35"/>
      <c r="S65" s="35">
        <v>0</v>
      </c>
      <c r="T65" s="35">
        <v>0</v>
      </c>
      <c r="U65" s="35">
        <v>0</v>
      </c>
      <c r="V65" s="35">
        <v>0</v>
      </c>
      <c r="W65" s="46">
        <f t="shared" si="19"/>
        <v>1342959.44</v>
      </c>
      <c r="X65" s="165">
        <v>2015</v>
      </c>
      <c r="Y65" s="165">
        <v>2015</v>
      </c>
      <c r="Z65" s="178"/>
    </row>
    <row r="66" spans="1:26" s="120" customFormat="1" ht="18" customHeight="1">
      <c r="A66" s="165">
        <f t="shared" si="20"/>
        <v>40</v>
      </c>
      <c r="B66" s="24" t="s">
        <v>587</v>
      </c>
      <c r="C66" s="148" t="s">
        <v>251</v>
      </c>
      <c r="D66" s="180"/>
      <c r="E66" s="49">
        <v>1267</v>
      </c>
      <c r="F66" s="49">
        <v>1232.5</v>
      </c>
      <c r="G66" s="46">
        <f>H66+J66+K66+M66+O66+Q66+S66</f>
        <v>2813621.33</v>
      </c>
      <c r="H66" s="35">
        <v>847525</v>
      </c>
      <c r="I66" s="35">
        <f>H66/F66</f>
        <v>687.64705882352939</v>
      </c>
      <c r="J66" s="35">
        <v>0</v>
      </c>
      <c r="K66" s="35">
        <v>1966096.33</v>
      </c>
      <c r="L66" s="35">
        <f>K66/F66</f>
        <v>1595.2100040567952</v>
      </c>
      <c r="M66" s="35">
        <v>0</v>
      </c>
      <c r="N66" s="35"/>
      <c r="O66" s="35">
        <v>0</v>
      </c>
      <c r="P66" s="35"/>
      <c r="Q66" s="35">
        <v>0</v>
      </c>
      <c r="R66" s="35"/>
      <c r="S66" s="35">
        <v>0</v>
      </c>
      <c r="T66" s="35">
        <v>0</v>
      </c>
      <c r="U66" s="35">
        <v>0</v>
      </c>
      <c r="V66" s="35">
        <v>0</v>
      </c>
      <c r="W66" s="46">
        <f>G66</f>
        <v>2813621.33</v>
      </c>
      <c r="X66" s="165">
        <v>2015</v>
      </c>
      <c r="Y66" s="165">
        <v>2016</v>
      </c>
      <c r="Z66" s="178">
        <f>Z54+1</f>
        <v>27</v>
      </c>
    </row>
    <row r="67" spans="1:26" s="122" customFormat="1" ht="18" customHeight="1">
      <c r="A67" s="165">
        <f t="shared" si="20"/>
        <v>41</v>
      </c>
      <c r="B67" s="24" t="s">
        <v>573</v>
      </c>
      <c r="C67" s="148" t="s">
        <v>251</v>
      </c>
      <c r="D67" s="180"/>
      <c r="E67" s="49">
        <v>1233.3</v>
      </c>
      <c r="F67" s="49">
        <f>1233.3-251.3</f>
        <v>982</v>
      </c>
      <c r="G67" s="46">
        <f>H67+J67+K67+M67+O67+Q67+S67</f>
        <v>2432718.42</v>
      </c>
      <c r="H67" s="35"/>
      <c r="I67" s="35"/>
      <c r="J67" s="35">
        <v>0</v>
      </c>
      <c r="K67" s="35">
        <f>ROUND(1595.21*F67,2)</f>
        <v>1566496.22</v>
      </c>
      <c r="L67" s="35">
        <f>K67/F67</f>
        <v>1595.21</v>
      </c>
      <c r="M67" s="35">
        <v>0</v>
      </c>
      <c r="N67" s="35"/>
      <c r="O67" s="35">
        <f>ROUND(882.1*F67,2)</f>
        <v>866222.2</v>
      </c>
      <c r="P67" s="35">
        <f>O67/F67</f>
        <v>882.09999999999991</v>
      </c>
      <c r="Q67" s="35">
        <v>0</v>
      </c>
      <c r="R67" s="35"/>
      <c r="S67" s="35">
        <v>0</v>
      </c>
      <c r="T67" s="35">
        <v>0</v>
      </c>
      <c r="U67" s="35">
        <v>0</v>
      </c>
      <c r="V67" s="35">
        <v>0</v>
      </c>
      <c r="W67" s="46">
        <f>G67</f>
        <v>2432718.42</v>
      </c>
      <c r="X67" s="165">
        <v>2016</v>
      </c>
      <c r="Y67" s="165">
        <v>2016</v>
      </c>
      <c r="Z67" s="176">
        <f>Z66+1</f>
        <v>28</v>
      </c>
    </row>
    <row r="68" spans="1:26" s="122" customFormat="1" ht="18" customHeight="1">
      <c r="A68" s="165">
        <f t="shared" si="20"/>
        <v>42</v>
      </c>
      <c r="B68" s="24" t="s">
        <v>583</v>
      </c>
      <c r="C68" s="148">
        <v>1963</v>
      </c>
      <c r="D68" s="51"/>
      <c r="E68" s="49">
        <v>2711.4</v>
      </c>
      <c r="F68" s="49">
        <v>2513.6</v>
      </c>
      <c r="G68" s="46">
        <f>H68+J68+K68+M68+O68+Q68+S68</f>
        <v>2004625</v>
      </c>
      <c r="H68" s="35">
        <v>2004625</v>
      </c>
      <c r="I68" s="35">
        <f>H68/F68</f>
        <v>797.51153723742846</v>
      </c>
      <c r="J68" s="35">
        <v>0</v>
      </c>
      <c r="K68" s="35">
        <v>0</v>
      </c>
      <c r="L68" s="35"/>
      <c r="M68" s="35">
        <v>0</v>
      </c>
      <c r="N68" s="35"/>
      <c r="O68" s="35">
        <v>0</v>
      </c>
      <c r="P68" s="35"/>
      <c r="Q68" s="35">
        <v>0</v>
      </c>
      <c r="R68" s="35"/>
      <c r="S68" s="35">
        <v>0</v>
      </c>
      <c r="T68" s="35">
        <v>0</v>
      </c>
      <c r="U68" s="35">
        <v>0</v>
      </c>
      <c r="V68" s="35">
        <v>0</v>
      </c>
      <c r="W68" s="46">
        <f>G68</f>
        <v>2004625</v>
      </c>
      <c r="X68" s="165">
        <v>2015</v>
      </c>
      <c r="Y68" s="165">
        <v>2016</v>
      </c>
      <c r="Z68" s="176">
        <f t="shared" ref="Z68:Z79" si="21">Z67+1</f>
        <v>29</v>
      </c>
    </row>
    <row r="69" spans="1:26" s="120" customFormat="1" ht="18" customHeight="1">
      <c r="A69" s="165">
        <f t="shared" si="20"/>
        <v>43</v>
      </c>
      <c r="B69" s="24" t="s">
        <v>604</v>
      </c>
      <c r="C69" s="148">
        <v>1958</v>
      </c>
      <c r="D69" s="51"/>
      <c r="E69" s="49">
        <v>1057.5999999999999</v>
      </c>
      <c r="F69" s="49">
        <v>874.3</v>
      </c>
      <c r="G69" s="46">
        <f>H69+J69+K69+M69+O69+Q69+S69</f>
        <v>3241812.13</v>
      </c>
      <c r="H69" s="35">
        <v>1075900</v>
      </c>
      <c r="I69" s="35">
        <f>H69/F69</f>
        <v>1230.5844675740593</v>
      </c>
      <c r="J69" s="35">
        <v>0</v>
      </c>
      <c r="K69" s="35">
        <v>1394692.1</v>
      </c>
      <c r="L69" s="35">
        <f>K69/F69</f>
        <v>1595.2099965686837</v>
      </c>
      <c r="M69" s="35">
        <v>0</v>
      </c>
      <c r="N69" s="35"/>
      <c r="O69" s="35">
        <v>771220.03</v>
      </c>
      <c r="P69" s="35">
        <f>O69/F69</f>
        <v>882.1</v>
      </c>
      <c r="Q69" s="35">
        <v>0</v>
      </c>
      <c r="R69" s="35"/>
      <c r="S69" s="35">
        <v>0</v>
      </c>
      <c r="T69" s="35">
        <v>0</v>
      </c>
      <c r="U69" s="35">
        <v>0</v>
      </c>
      <c r="V69" s="35">
        <v>0</v>
      </c>
      <c r="W69" s="46">
        <f>G69</f>
        <v>3241812.13</v>
      </c>
      <c r="X69" s="165">
        <v>2016</v>
      </c>
      <c r="Y69" s="165">
        <v>2017</v>
      </c>
      <c r="Z69" s="176">
        <f t="shared" si="21"/>
        <v>30</v>
      </c>
    </row>
    <row r="70" spans="1:26" s="120" customFormat="1" ht="18" customHeight="1">
      <c r="A70" s="165">
        <f t="shared" si="20"/>
        <v>44</v>
      </c>
      <c r="B70" s="24" t="s">
        <v>582</v>
      </c>
      <c r="C70" s="148">
        <v>1963</v>
      </c>
      <c r="D70" s="51"/>
      <c r="E70" s="49">
        <v>2015.1</v>
      </c>
      <c r="F70" s="49">
        <v>2002.5</v>
      </c>
      <c r="G70" s="46">
        <f>H70+J70+K70+M70+O70+Q70+S70</f>
        <v>2055882.5</v>
      </c>
      <c r="H70" s="35">
        <v>2055882.5</v>
      </c>
      <c r="I70" s="35">
        <f>H70/F70</f>
        <v>1026.6579275905119</v>
      </c>
      <c r="J70" s="35">
        <v>0</v>
      </c>
      <c r="K70" s="35">
        <v>0</v>
      </c>
      <c r="L70" s="35"/>
      <c r="M70" s="35">
        <v>0</v>
      </c>
      <c r="N70" s="35"/>
      <c r="O70" s="35">
        <v>0</v>
      </c>
      <c r="P70" s="35"/>
      <c r="Q70" s="35">
        <v>0</v>
      </c>
      <c r="R70" s="35"/>
      <c r="S70" s="35">
        <v>0</v>
      </c>
      <c r="T70" s="35">
        <v>0</v>
      </c>
      <c r="U70" s="35">
        <v>0</v>
      </c>
      <c r="V70" s="35">
        <v>0</v>
      </c>
      <c r="W70" s="46">
        <f>G70</f>
        <v>2055882.5</v>
      </c>
      <c r="X70" s="165">
        <v>2015</v>
      </c>
      <c r="Y70" s="165">
        <v>2016</v>
      </c>
      <c r="Z70" s="176">
        <f t="shared" si="21"/>
        <v>31</v>
      </c>
    </row>
    <row r="71" spans="1:26" s="120" customFormat="1" ht="18" customHeight="1">
      <c r="A71" s="165">
        <f t="shared" si="20"/>
        <v>45</v>
      </c>
      <c r="B71" s="24" t="s">
        <v>581</v>
      </c>
      <c r="C71" s="148">
        <v>1958</v>
      </c>
      <c r="D71" s="51"/>
      <c r="E71" s="49">
        <v>660</v>
      </c>
      <c r="F71" s="49">
        <v>606.29999999999995</v>
      </c>
      <c r="G71" s="46">
        <f>H71+J71+K71+M71+O71+Q71+S71</f>
        <v>2065881.38</v>
      </c>
      <c r="H71" s="35">
        <v>544020.07999999996</v>
      </c>
      <c r="I71" s="35">
        <f>H71/F71</f>
        <v>897.27870691077021</v>
      </c>
      <c r="J71" s="35">
        <v>0</v>
      </c>
      <c r="K71" s="35">
        <v>967175.82</v>
      </c>
      <c r="L71" s="35">
        <f>K71/F71</f>
        <v>1595.2099950519546</v>
      </c>
      <c r="M71" s="35">
        <v>0</v>
      </c>
      <c r="N71" s="35"/>
      <c r="O71" s="35">
        <v>534817.23</v>
      </c>
      <c r="P71" s="35">
        <f>O71/F71</f>
        <v>882.1</v>
      </c>
      <c r="Q71" s="35">
        <v>19868.25</v>
      </c>
      <c r="R71" s="35">
        <f>Q71/F71</f>
        <v>32.769668480950024</v>
      </c>
      <c r="S71" s="35">
        <v>0</v>
      </c>
      <c r="T71" s="35">
        <v>0</v>
      </c>
      <c r="U71" s="35">
        <v>0</v>
      </c>
      <c r="V71" s="35">
        <v>0</v>
      </c>
      <c r="W71" s="46">
        <f>G71</f>
        <v>2065881.38</v>
      </c>
      <c r="X71" s="165">
        <v>2016</v>
      </c>
      <c r="Y71" s="165">
        <v>2017</v>
      </c>
      <c r="Z71" s="176">
        <f t="shared" si="21"/>
        <v>32</v>
      </c>
    </row>
    <row r="72" spans="1:26" s="122" customFormat="1" ht="18" customHeight="1">
      <c r="A72" s="165">
        <f t="shared" si="20"/>
        <v>46</v>
      </c>
      <c r="B72" s="24" t="s">
        <v>584</v>
      </c>
      <c r="C72" s="148">
        <v>1962</v>
      </c>
      <c r="D72" s="51"/>
      <c r="E72" s="49">
        <f>1443.9+105</f>
        <v>1548.9</v>
      </c>
      <c r="F72" s="49">
        <v>1443.9</v>
      </c>
      <c r="G72" s="46">
        <f>H72+J72+K72+M72+O72+Q72+S72</f>
        <v>2537500</v>
      </c>
      <c r="H72" s="35">
        <v>0</v>
      </c>
      <c r="I72" s="35">
        <f>H72/F72</f>
        <v>0</v>
      </c>
      <c r="J72" s="35">
        <v>0</v>
      </c>
      <c r="K72" s="35">
        <v>1580557.87</v>
      </c>
      <c r="L72" s="35">
        <f>K72/F72</f>
        <v>1094.6449684881225</v>
      </c>
      <c r="M72" s="35">
        <v>0</v>
      </c>
      <c r="N72" s="35"/>
      <c r="O72" s="35">
        <v>956942.13</v>
      </c>
      <c r="P72" s="35">
        <f>O72/F72</f>
        <v>662.74820278412631</v>
      </c>
      <c r="Q72" s="35">
        <v>0</v>
      </c>
      <c r="R72" s="35"/>
      <c r="S72" s="35">
        <v>0</v>
      </c>
      <c r="T72" s="35">
        <v>0</v>
      </c>
      <c r="U72" s="35">
        <v>0</v>
      </c>
      <c r="V72" s="35">
        <v>0</v>
      </c>
      <c r="W72" s="46">
        <f>G72</f>
        <v>2537500</v>
      </c>
      <c r="X72" s="165">
        <v>2015</v>
      </c>
      <c r="Y72" s="165">
        <v>2016</v>
      </c>
      <c r="Z72" s="176">
        <f t="shared" si="21"/>
        <v>33</v>
      </c>
    </row>
    <row r="73" spans="1:26" s="120" customFormat="1" ht="18" customHeight="1">
      <c r="A73" s="165">
        <f t="shared" si="20"/>
        <v>47</v>
      </c>
      <c r="B73" s="24" t="s">
        <v>576</v>
      </c>
      <c r="C73" s="148" t="s">
        <v>215</v>
      </c>
      <c r="D73" s="180"/>
      <c r="E73" s="49">
        <v>422.5</v>
      </c>
      <c r="F73" s="49">
        <v>380.7</v>
      </c>
      <c r="G73" s="46">
        <f>H73+J73+K73+M73+O73+Q73+S73</f>
        <v>607296.44999999995</v>
      </c>
      <c r="H73" s="35"/>
      <c r="I73" s="35"/>
      <c r="J73" s="35">
        <v>0</v>
      </c>
      <c r="K73" s="35">
        <v>607296.44999999995</v>
      </c>
      <c r="L73" s="35">
        <f>K73/F73</f>
        <v>1595.2100078802205</v>
      </c>
      <c r="M73" s="35">
        <v>0</v>
      </c>
      <c r="N73" s="35"/>
      <c r="O73" s="35">
        <v>0</v>
      </c>
      <c r="P73" s="35"/>
      <c r="Q73" s="35">
        <v>0</v>
      </c>
      <c r="R73" s="35"/>
      <c r="S73" s="35">
        <v>0</v>
      </c>
      <c r="T73" s="35">
        <v>0</v>
      </c>
      <c r="U73" s="35">
        <v>0</v>
      </c>
      <c r="V73" s="35">
        <v>0</v>
      </c>
      <c r="W73" s="46">
        <f>G73</f>
        <v>607296.44999999995</v>
      </c>
      <c r="X73" s="165">
        <v>2016</v>
      </c>
      <c r="Y73" s="165">
        <v>2016</v>
      </c>
      <c r="Z73" s="176">
        <f t="shared" si="21"/>
        <v>34</v>
      </c>
    </row>
    <row r="74" spans="1:26" s="120" customFormat="1" ht="18" customHeight="1">
      <c r="A74" s="165">
        <f t="shared" si="20"/>
        <v>48</v>
      </c>
      <c r="B74" s="24" t="s">
        <v>578</v>
      </c>
      <c r="C74" s="148" t="s">
        <v>20</v>
      </c>
      <c r="D74" s="165"/>
      <c r="E74" s="49">
        <v>428.7</v>
      </c>
      <c r="F74" s="49">
        <v>387.3</v>
      </c>
      <c r="G74" s="46">
        <f>H74+J74+K74+M74+O74+Q74+S74</f>
        <v>959462.15999999992</v>
      </c>
      <c r="H74" s="35"/>
      <c r="I74" s="35"/>
      <c r="J74" s="35">
        <v>0</v>
      </c>
      <c r="K74" s="35">
        <v>617824.82999999996</v>
      </c>
      <c r="L74" s="35">
        <f>K74/F74</f>
        <v>1595.2099922540665</v>
      </c>
      <c r="M74" s="35">
        <v>0</v>
      </c>
      <c r="N74" s="35"/>
      <c r="O74" s="35">
        <v>341637.33</v>
      </c>
      <c r="P74" s="35">
        <f>O74/F74</f>
        <v>882.1</v>
      </c>
      <c r="Q74" s="35">
        <v>0</v>
      </c>
      <c r="R74" s="35"/>
      <c r="S74" s="35">
        <v>0</v>
      </c>
      <c r="T74" s="35">
        <v>0</v>
      </c>
      <c r="U74" s="35">
        <v>0</v>
      </c>
      <c r="V74" s="35">
        <v>0</v>
      </c>
      <c r="W74" s="46">
        <f>G74</f>
        <v>959462.15999999992</v>
      </c>
      <c r="X74" s="165">
        <v>2016</v>
      </c>
      <c r="Y74" s="165">
        <v>2016</v>
      </c>
      <c r="Z74" s="176">
        <f t="shared" si="21"/>
        <v>35</v>
      </c>
    </row>
    <row r="75" spans="1:26" s="120" customFormat="1" ht="18" customHeight="1">
      <c r="A75" s="165">
        <f t="shared" si="20"/>
        <v>49</v>
      </c>
      <c r="B75" s="24" t="s">
        <v>579</v>
      </c>
      <c r="C75" s="148" t="s">
        <v>20</v>
      </c>
      <c r="D75" s="165"/>
      <c r="E75" s="49">
        <v>1432.1</v>
      </c>
      <c r="F75" s="49">
        <v>1298.3</v>
      </c>
      <c r="G75" s="46">
        <f>H75+J75+K75+M75+O75+Q75+S75</f>
        <v>2071061.14</v>
      </c>
      <c r="H75" s="35"/>
      <c r="I75" s="35"/>
      <c r="J75" s="35">
        <v>0</v>
      </c>
      <c r="K75" s="35">
        <v>2071061.14</v>
      </c>
      <c r="L75" s="35">
        <f>K75/F75</f>
        <v>1595.209997689286</v>
      </c>
      <c r="M75" s="35">
        <v>0</v>
      </c>
      <c r="N75" s="35"/>
      <c r="O75" s="35">
        <v>0</v>
      </c>
      <c r="P75" s="35"/>
      <c r="Q75" s="35">
        <v>0</v>
      </c>
      <c r="R75" s="35"/>
      <c r="S75" s="35">
        <v>0</v>
      </c>
      <c r="T75" s="35">
        <v>0</v>
      </c>
      <c r="U75" s="35">
        <v>0</v>
      </c>
      <c r="V75" s="35">
        <v>0</v>
      </c>
      <c r="W75" s="46">
        <f>G75</f>
        <v>2071061.14</v>
      </c>
      <c r="X75" s="165">
        <v>2016</v>
      </c>
      <c r="Y75" s="165">
        <v>2016</v>
      </c>
      <c r="Z75" s="176">
        <f t="shared" si="21"/>
        <v>36</v>
      </c>
    </row>
    <row r="76" spans="1:26" s="120" customFormat="1" ht="18" customHeight="1">
      <c r="A76" s="165">
        <f t="shared" si="20"/>
        <v>50</v>
      </c>
      <c r="B76" s="24" t="s">
        <v>580</v>
      </c>
      <c r="C76" s="148">
        <v>1958</v>
      </c>
      <c r="D76" s="51"/>
      <c r="E76" s="49">
        <v>1535.2</v>
      </c>
      <c r="F76" s="49">
        <v>1365.2</v>
      </c>
      <c r="G76" s="46">
        <f>H76+J76+K76+M76+O76+Q76+S76</f>
        <v>1395625</v>
      </c>
      <c r="H76" s="35">
        <v>1395625</v>
      </c>
      <c r="I76" s="35">
        <f>H76/F76</f>
        <v>1022.2861119249926</v>
      </c>
      <c r="J76" s="35">
        <v>0</v>
      </c>
      <c r="K76" s="35">
        <v>0</v>
      </c>
      <c r="L76" s="35"/>
      <c r="M76" s="35">
        <v>0</v>
      </c>
      <c r="N76" s="35"/>
      <c r="O76" s="35">
        <v>0</v>
      </c>
      <c r="P76" s="35"/>
      <c r="Q76" s="35">
        <v>0</v>
      </c>
      <c r="R76" s="35"/>
      <c r="S76" s="35">
        <v>0</v>
      </c>
      <c r="T76" s="35">
        <v>0</v>
      </c>
      <c r="U76" s="35">
        <v>0</v>
      </c>
      <c r="V76" s="35">
        <v>0</v>
      </c>
      <c r="W76" s="46">
        <f>G76</f>
        <v>1395625</v>
      </c>
      <c r="X76" s="165">
        <v>2015</v>
      </c>
      <c r="Y76" s="165">
        <v>2016</v>
      </c>
      <c r="Z76" s="176">
        <f t="shared" si="21"/>
        <v>37</v>
      </c>
    </row>
    <row r="77" spans="1:26" s="120" customFormat="1" ht="18" customHeight="1">
      <c r="A77" s="165">
        <f t="shared" si="20"/>
        <v>51</v>
      </c>
      <c r="B77" s="24" t="s">
        <v>588</v>
      </c>
      <c r="C77" s="148" t="s">
        <v>20</v>
      </c>
      <c r="D77" s="165"/>
      <c r="E77" s="49">
        <v>1568</v>
      </c>
      <c r="F77" s="49">
        <v>1344.4</v>
      </c>
      <c r="G77" s="46">
        <f>H77+J77+K77+M77+O77+Q77+S77</f>
        <v>1095860.74</v>
      </c>
      <c r="H77" s="35">
        <v>1095860.74</v>
      </c>
      <c r="I77" s="35">
        <f>H77/F77</f>
        <v>815.12997619756015</v>
      </c>
      <c r="J77" s="35">
        <v>0</v>
      </c>
      <c r="K77" s="35">
        <v>0</v>
      </c>
      <c r="L77" s="35"/>
      <c r="M77" s="35">
        <v>0</v>
      </c>
      <c r="N77" s="35"/>
      <c r="O77" s="35">
        <v>0</v>
      </c>
      <c r="P77" s="35"/>
      <c r="Q77" s="35">
        <v>0</v>
      </c>
      <c r="R77" s="35"/>
      <c r="S77" s="35">
        <v>0</v>
      </c>
      <c r="T77" s="35">
        <v>0</v>
      </c>
      <c r="U77" s="35">
        <v>0</v>
      </c>
      <c r="V77" s="35">
        <v>0</v>
      </c>
      <c r="W77" s="46">
        <f>G77</f>
        <v>1095860.74</v>
      </c>
      <c r="X77" s="165">
        <v>2016</v>
      </c>
      <c r="Y77" s="165">
        <v>2016</v>
      </c>
      <c r="Z77" s="176">
        <f t="shared" si="21"/>
        <v>38</v>
      </c>
    </row>
    <row r="78" spans="1:26" s="120" customFormat="1" ht="18" customHeight="1">
      <c r="A78" s="165">
        <f t="shared" si="20"/>
        <v>52</v>
      </c>
      <c r="B78" s="24" t="s">
        <v>585</v>
      </c>
      <c r="C78" s="148" t="s">
        <v>20</v>
      </c>
      <c r="D78" s="165"/>
      <c r="E78" s="49">
        <v>792.8</v>
      </c>
      <c r="F78" s="49">
        <v>728.4</v>
      </c>
      <c r="G78" s="46">
        <f>H78+J78+K78+M78+O78+Q78+S78</f>
        <v>2454072.6</v>
      </c>
      <c r="H78" s="35">
        <v>649600</v>
      </c>
      <c r="I78" s="35">
        <f>H78/F78</f>
        <v>891.81768259198248</v>
      </c>
      <c r="J78" s="35">
        <v>0</v>
      </c>
      <c r="K78" s="35">
        <v>1161950.96</v>
      </c>
      <c r="L78" s="35">
        <f>K78/F78</f>
        <v>1595.2099945085117</v>
      </c>
      <c r="M78" s="35">
        <v>0</v>
      </c>
      <c r="N78" s="35"/>
      <c r="O78" s="35">
        <v>642521.64</v>
      </c>
      <c r="P78" s="35">
        <f>O78/F78</f>
        <v>882.1</v>
      </c>
      <c r="Q78" s="35">
        <v>0</v>
      </c>
      <c r="R78" s="35"/>
      <c r="S78" s="35">
        <v>0</v>
      </c>
      <c r="T78" s="35">
        <v>0</v>
      </c>
      <c r="U78" s="35">
        <v>0</v>
      </c>
      <c r="V78" s="35">
        <v>0</v>
      </c>
      <c r="W78" s="46">
        <f>G78</f>
        <v>2454072.6</v>
      </c>
      <c r="X78" s="165">
        <v>2016</v>
      </c>
      <c r="Y78" s="165">
        <v>2017</v>
      </c>
      <c r="Z78" s="176">
        <f t="shared" si="21"/>
        <v>39</v>
      </c>
    </row>
    <row r="79" spans="1:26" s="120" customFormat="1" ht="18" customHeight="1">
      <c r="A79" s="165">
        <f t="shared" si="20"/>
        <v>53</v>
      </c>
      <c r="B79" s="24" t="s">
        <v>586</v>
      </c>
      <c r="C79" s="148">
        <v>1957</v>
      </c>
      <c r="D79" s="51"/>
      <c r="E79" s="49">
        <v>798.4</v>
      </c>
      <c r="F79" s="49">
        <v>731.3</v>
      </c>
      <c r="G79" s="46">
        <f>H79+J79+K79+M79+O79+Q79+S79</f>
        <v>649600</v>
      </c>
      <c r="H79" s="35">
        <v>649600</v>
      </c>
      <c r="I79" s="35">
        <f>H79/F79</f>
        <v>888.28114316969788</v>
      </c>
      <c r="J79" s="35">
        <v>0</v>
      </c>
      <c r="K79" s="35">
        <v>0</v>
      </c>
      <c r="L79" s="35">
        <f>K79/F79</f>
        <v>0</v>
      </c>
      <c r="M79" s="35">
        <v>0</v>
      </c>
      <c r="N79" s="35"/>
      <c r="O79" s="35">
        <v>0</v>
      </c>
      <c r="P79" s="35"/>
      <c r="Q79" s="35">
        <v>0</v>
      </c>
      <c r="R79" s="35"/>
      <c r="S79" s="35">
        <v>0</v>
      </c>
      <c r="T79" s="35">
        <v>0</v>
      </c>
      <c r="U79" s="35">
        <v>0</v>
      </c>
      <c r="V79" s="35">
        <v>0</v>
      </c>
      <c r="W79" s="46">
        <f>G79</f>
        <v>649600</v>
      </c>
      <c r="X79" s="165">
        <v>2015</v>
      </c>
      <c r="Y79" s="165">
        <v>2016</v>
      </c>
      <c r="Z79" s="176">
        <f t="shared" si="21"/>
        <v>40</v>
      </c>
    </row>
    <row r="80" spans="1:26" s="120" customFormat="1" ht="19.5" customHeight="1">
      <c r="A80" s="185" t="s">
        <v>208</v>
      </c>
      <c r="B80" s="185"/>
      <c r="C80" s="149"/>
      <c r="D80" s="25"/>
      <c r="E80" s="29">
        <v>0</v>
      </c>
      <c r="F80" s="29">
        <v>0</v>
      </c>
      <c r="G80" s="19">
        <v>0</v>
      </c>
      <c r="H80" s="28">
        <v>0</v>
      </c>
      <c r="I80" s="28"/>
      <c r="J80" s="28">
        <v>0</v>
      </c>
      <c r="K80" s="28">
        <v>0</v>
      </c>
      <c r="L80" s="28"/>
      <c r="M80" s="28">
        <v>0</v>
      </c>
      <c r="N80" s="28"/>
      <c r="O80" s="28">
        <v>0</v>
      </c>
      <c r="P80" s="28"/>
      <c r="Q80" s="28">
        <v>0</v>
      </c>
      <c r="R80" s="28"/>
      <c r="S80" s="28">
        <v>0</v>
      </c>
      <c r="T80" s="28">
        <v>0</v>
      </c>
      <c r="U80" s="28">
        <v>0</v>
      </c>
      <c r="V80" s="28">
        <v>0</v>
      </c>
      <c r="W80" s="19">
        <v>0</v>
      </c>
      <c r="X80" s="20" t="s">
        <v>447</v>
      </c>
      <c r="Y80" s="20" t="s">
        <v>447</v>
      </c>
      <c r="Z80" s="178"/>
    </row>
    <row r="81" spans="1:26" s="120" customFormat="1" ht="19.5" customHeight="1">
      <c r="A81" s="185" t="s">
        <v>206</v>
      </c>
      <c r="B81" s="185"/>
      <c r="C81" s="152"/>
      <c r="D81" s="163"/>
      <c r="E81" s="29">
        <f>SUM(E59:E65)</f>
        <v>6624.4</v>
      </c>
      <c r="F81" s="29">
        <f>SUM(F59:F65)</f>
        <v>5943.9000000000005</v>
      </c>
      <c r="G81" s="19">
        <f>SUM(G59:G65)</f>
        <v>5661929.7999999989</v>
      </c>
      <c r="H81" s="28">
        <f>SUM(H59:H65)</f>
        <v>5661929.7999999989</v>
      </c>
      <c r="I81" s="28"/>
      <c r="J81" s="28">
        <f>SUM(J59:J65)</f>
        <v>0</v>
      </c>
      <c r="K81" s="28">
        <f>SUM(K59:K65)</f>
        <v>0</v>
      </c>
      <c r="L81" s="28"/>
      <c r="M81" s="28">
        <f>SUM(M59:M65)</f>
        <v>0</v>
      </c>
      <c r="N81" s="28"/>
      <c r="O81" s="28">
        <f>SUM(O59:O65)</f>
        <v>0</v>
      </c>
      <c r="P81" s="28"/>
      <c r="Q81" s="28">
        <f>SUM(Q59:Q65)</f>
        <v>0</v>
      </c>
      <c r="R81" s="28"/>
      <c r="S81" s="28">
        <f>SUM(S59:S65)</f>
        <v>0</v>
      </c>
      <c r="T81" s="28">
        <f>SUM(T59:T65)</f>
        <v>0</v>
      </c>
      <c r="U81" s="28">
        <f>SUM(U59:U65)</f>
        <v>0</v>
      </c>
      <c r="V81" s="28">
        <f>SUM(V59:V65)</f>
        <v>0</v>
      </c>
      <c r="W81" s="19">
        <f>SUM(W59:W65)</f>
        <v>5661929.7999999989</v>
      </c>
      <c r="X81" s="20" t="s">
        <v>447</v>
      </c>
      <c r="Y81" s="20" t="s">
        <v>447</v>
      </c>
      <c r="Z81" s="178"/>
    </row>
    <row r="82" spans="1:26" s="120" customFormat="1" ht="19.5" customHeight="1">
      <c r="A82" s="185" t="s">
        <v>207</v>
      </c>
      <c r="B82" s="185"/>
      <c r="C82" s="152"/>
      <c r="D82" s="163"/>
      <c r="E82" s="29">
        <f>SUM(E66:E79)</f>
        <v>17471.000000000004</v>
      </c>
      <c r="F82" s="29">
        <f>SUM(F66:F79)</f>
        <v>15890.699999999999</v>
      </c>
      <c r="G82" s="19">
        <f>SUM(G66:G79)</f>
        <v>26385018.849999998</v>
      </c>
      <c r="H82" s="28">
        <f>SUM(H66:H79)</f>
        <v>10318638.32</v>
      </c>
      <c r="I82" s="28"/>
      <c r="J82" s="28">
        <f>SUM(J66:J79)</f>
        <v>0</v>
      </c>
      <c r="K82" s="28">
        <f>SUM(K66:K79)</f>
        <v>11933151.720000003</v>
      </c>
      <c r="L82" s="28"/>
      <c r="M82" s="28">
        <f>SUM(M66:M79)</f>
        <v>0</v>
      </c>
      <c r="N82" s="28"/>
      <c r="O82" s="28">
        <f>SUM(O66:O79)</f>
        <v>4113360.56</v>
      </c>
      <c r="P82" s="28"/>
      <c r="Q82" s="28">
        <f>SUM(Q66:Q79)</f>
        <v>19868.25</v>
      </c>
      <c r="R82" s="28"/>
      <c r="S82" s="28">
        <f>SUM(S66:S79)</f>
        <v>0</v>
      </c>
      <c r="T82" s="28">
        <f>SUM(T66:T79)</f>
        <v>0</v>
      </c>
      <c r="U82" s="28">
        <f>SUM(U66:U79)</f>
        <v>0</v>
      </c>
      <c r="V82" s="28">
        <f>SUM(V66:V79)</f>
        <v>0</v>
      </c>
      <c r="W82" s="19">
        <f>SUM(W66:W79)</f>
        <v>26385018.849999998</v>
      </c>
      <c r="X82" s="20" t="s">
        <v>447</v>
      </c>
      <c r="Y82" s="20" t="s">
        <v>447</v>
      </c>
      <c r="Z82" s="178"/>
    </row>
    <row r="83" spans="1:26" s="120" customFormat="1" ht="18" customHeight="1">
      <c r="A83" s="187" t="s">
        <v>112</v>
      </c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7"/>
      <c r="S83" s="187"/>
      <c r="T83" s="187"/>
      <c r="U83" s="187"/>
      <c r="V83" s="187"/>
      <c r="W83" s="187"/>
      <c r="X83" s="123"/>
      <c r="Y83" s="123"/>
      <c r="Z83" s="178"/>
    </row>
    <row r="84" spans="1:26" s="122" customFormat="1" ht="18" customHeight="1">
      <c r="A84" s="165">
        <f>A79+1</f>
        <v>54</v>
      </c>
      <c r="B84" s="43" t="s">
        <v>27</v>
      </c>
      <c r="C84" s="149">
        <v>1946</v>
      </c>
      <c r="D84" s="165"/>
      <c r="E84" s="44">
        <v>1034.9000000000001</v>
      </c>
      <c r="F84" s="45">
        <v>936.1</v>
      </c>
      <c r="G84" s="46">
        <f t="shared" ref="G84:G90" si="22">SUM(H84:S84)</f>
        <v>3000000</v>
      </c>
      <c r="H84" s="47">
        <v>3000000</v>
      </c>
      <c r="I84" s="47"/>
      <c r="J84" s="35">
        <v>0</v>
      </c>
      <c r="K84" s="35">
        <v>0</v>
      </c>
      <c r="L84" s="35"/>
      <c r="M84" s="35">
        <v>0</v>
      </c>
      <c r="N84" s="35"/>
      <c r="O84" s="35">
        <v>0</v>
      </c>
      <c r="P84" s="35"/>
      <c r="Q84" s="35">
        <v>0</v>
      </c>
      <c r="R84" s="35"/>
      <c r="S84" s="35">
        <v>0</v>
      </c>
      <c r="T84" s="125">
        <f>1351752-9552.02</f>
        <v>1342199.98</v>
      </c>
      <c r="U84" s="35">
        <v>0</v>
      </c>
      <c r="V84" s="35">
        <f>G84-T84</f>
        <v>1657800.02</v>
      </c>
      <c r="W84" s="46">
        <v>0</v>
      </c>
      <c r="X84" s="165">
        <v>2014</v>
      </c>
      <c r="Y84" s="165">
        <v>2015</v>
      </c>
      <c r="Z84" s="176"/>
    </row>
    <row r="85" spans="1:26" s="122" customFormat="1" ht="18" customHeight="1">
      <c r="A85" s="165">
        <f t="shared" ref="A85:A109" si="23">A84+1</f>
        <v>55</v>
      </c>
      <c r="B85" s="43" t="s">
        <v>28</v>
      </c>
      <c r="C85" s="149">
        <v>1946</v>
      </c>
      <c r="D85" s="165"/>
      <c r="E85" s="45">
        <v>1031.2</v>
      </c>
      <c r="F85" s="45">
        <v>932.9</v>
      </c>
      <c r="G85" s="46">
        <f t="shared" si="22"/>
        <v>1350000</v>
      </c>
      <c r="H85" s="47">
        <v>1350000</v>
      </c>
      <c r="I85" s="47"/>
      <c r="J85" s="35">
        <v>0</v>
      </c>
      <c r="K85" s="35">
        <v>0</v>
      </c>
      <c r="L85" s="35"/>
      <c r="M85" s="35">
        <v>0</v>
      </c>
      <c r="N85" s="35"/>
      <c r="O85" s="35">
        <v>0</v>
      </c>
      <c r="P85" s="35"/>
      <c r="Q85" s="35">
        <v>0</v>
      </c>
      <c r="R85" s="35"/>
      <c r="S85" s="35">
        <v>0</v>
      </c>
      <c r="T85" s="125">
        <f>610626-6636.44</f>
        <v>603989.56000000006</v>
      </c>
      <c r="U85" s="35">
        <v>0</v>
      </c>
      <c r="V85" s="35">
        <f>G85-T85</f>
        <v>746010.44</v>
      </c>
      <c r="W85" s="46">
        <v>0</v>
      </c>
      <c r="X85" s="165">
        <v>2014</v>
      </c>
      <c r="Y85" s="165">
        <v>2015</v>
      </c>
      <c r="Z85" s="176"/>
    </row>
    <row r="86" spans="1:26" s="122" customFormat="1" ht="18" customHeight="1">
      <c r="A86" s="165">
        <f t="shared" si="23"/>
        <v>56</v>
      </c>
      <c r="B86" s="43" t="s">
        <v>82</v>
      </c>
      <c r="C86" s="149">
        <v>1958</v>
      </c>
      <c r="D86" s="165"/>
      <c r="E86" s="45">
        <v>4784</v>
      </c>
      <c r="F86" s="45">
        <v>3693.3</v>
      </c>
      <c r="G86" s="46">
        <f t="shared" si="22"/>
        <v>8572867.6699999999</v>
      </c>
      <c r="H86" s="125">
        <v>4104499.61</v>
      </c>
      <c r="I86" s="125"/>
      <c r="J86" s="35">
        <v>0</v>
      </c>
      <c r="K86" s="35">
        <v>4468368.0599999996</v>
      </c>
      <c r="L86" s="35"/>
      <c r="M86" s="35">
        <v>0</v>
      </c>
      <c r="N86" s="35"/>
      <c r="O86" s="35">
        <v>0</v>
      </c>
      <c r="P86" s="35"/>
      <c r="Q86" s="35">
        <v>0</v>
      </c>
      <c r="R86" s="35"/>
      <c r="S86" s="35">
        <v>0</v>
      </c>
      <c r="T86" s="34">
        <f>ROUND(G86*0.447,2)</f>
        <v>3832071.85</v>
      </c>
      <c r="U86" s="35">
        <v>0</v>
      </c>
      <c r="V86" s="35">
        <f>G86-T86</f>
        <v>4740795.82</v>
      </c>
      <c r="W86" s="46">
        <v>0</v>
      </c>
      <c r="X86" s="165">
        <v>2014</v>
      </c>
      <c r="Y86" s="165">
        <v>2015</v>
      </c>
      <c r="Z86" s="176"/>
    </row>
    <row r="87" spans="1:26" s="122" customFormat="1" ht="18" customHeight="1">
      <c r="A87" s="165">
        <f t="shared" si="23"/>
        <v>57</v>
      </c>
      <c r="B87" s="43" t="s">
        <v>81</v>
      </c>
      <c r="C87" s="149">
        <v>1958</v>
      </c>
      <c r="D87" s="165"/>
      <c r="E87" s="45">
        <v>4629.1000000000004</v>
      </c>
      <c r="F87" s="45">
        <v>2778.9</v>
      </c>
      <c r="G87" s="46">
        <f t="shared" si="22"/>
        <v>6241800</v>
      </c>
      <c r="H87" s="34">
        <v>6241800</v>
      </c>
      <c r="I87" s="34"/>
      <c r="J87" s="35">
        <v>0</v>
      </c>
      <c r="K87" s="35">
        <v>0</v>
      </c>
      <c r="L87" s="35"/>
      <c r="M87" s="35">
        <v>0</v>
      </c>
      <c r="N87" s="35"/>
      <c r="O87" s="35">
        <v>0</v>
      </c>
      <c r="P87" s="35"/>
      <c r="Q87" s="35">
        <v>0</v>
      </c>
      <c r="R87" s="35"/>
      <c r="S87" s="35">
        <v>0</v>
      </c>
      <c r="T87" s="34">
        <v>2790084.59</v>
      </c>
      <c r="U87" s="35">
        <v>0</v>
      </c>
      <c r="V87" s="35">
        <f>G87-T87</f>
        <v>3451715.41</v>
      </c>
      <c r="W87" s="46">
        <v>0</v>
      </c>
      <c r="X87" s="165">
        <v>2014</v>
      </c>
      <c r="Y87" s="165">
        <v>2015</v>
      </c>
      <c r="Z87" s="176"/>
    </row>
    <row r="88" spans="1:26" s="122" customFormat="1" ht="18" customHeight="1">
      <c r="A88" s="165">
        <f t="shared" si="23"/>
        <v>58</v>
      </c>
      <c r="B88" s="24" t="s">
        <v>156</v>
      </c>
      <c r="C88" s="148">
        <v>1952</v>
      </c>
      <c r="D88" s="51"/>
      <c r="E88" s="126">
        <v>4006</v>
      </c>
      <c r="F88" s="45">
        <v>3347.1</v>
      </c>
      <c r="G88" s="46">
        <f t="shared" si="22"/>
        <v>894997.75</v>
      </c>
      <c r="H88" s="35">
        <v>894997.75</v>
      </c>
      <c r="I88" s="35"/>
      <c r="J88" s="35">
        <v>0</v>
      </c>
      <c r="K88" s="35">
        <v>0</v>
      </c>
      <c r="L88" s="35"/>
      <c r="M88" s="35">
        <v>0</v>
      </c>
      <c r="N88" s="35"/>
      <c r="O88" s="35">
        <v>0</v>
      </c>
      <c r="P88" s="35"/>
      <c r="Q88" s="35">
        <v>0</v>
      </c>
      <c r="R88" s="35"/>
      <c r="S88" s="35">
        <v>0</v>
      </c>
      <c r="T88" s="35">
        <v>0</v>
      </c>
      <c r="U88" s="35">
        <v>0</v>
      </c>
      <c r="V88" s="35">
        <v>0</v>
      </c>
      <c r="W88" s="46">
        <f>G88</f>
        <v>894997.75</v>
      </c>
      <c r="X88" s="165">
        <v>2015</v>
      </c>
      <c r="Y88" s="165">
        <v>2015</v>
      </c>
      <c r="Z88" s="176"/>
    </row>
    <row r="89" spans="1:26" s="122" customFormat="1" ht="18" customHeight="1">
      <c r="A89" s="165">
        <f t="shared" si="23"/>
        <v>59</v>
      </c>
      <c r="B89" s="24" t="s">
        <v>157</v>
      </c>
      <c r="C89" s="148">
        <v>1957</v>
      </c>
      <c r="D89" s="51"/>
      <c r="E89" s="126">
        <v>4863.8</v>
      </c>
      <c r="F89" s="45">
        <v>4426.3999999999996</v>
      </c>
      <c r="G89" s="46">
        <f t="shared" si="22"/>
        <v>3148631.5</v>
      </c>
      <c r="H89" s="35">
        <v>0</v>
      </c>
      <c r="I89" s="35"/>
      <c r="J89" s="35">
        <v>0</v>
      </c>
      <c r="K89" s="35">
        <v>3148631.5</v>
      </c>
      <c r="L89" s="35"/>
      <c r="M89" s="35">
        <v>0</v>
      </c>
      <c r="N89" s="35"/>
      <c r="O89" s="35">
        <v>0</v>
      </c>
      <c r="P89" s="35"/>
      <c r="Q89" s="35">
        <v>0</v>
      </c>
      <c r="R89" s="35"/>
      <c r="S89" s="35">
        <v>0</v>
      </c>
      <c r="T89" s="35">
        <v>0</v>
      </c>
      <c r="U89" s="35">
        <v>0</v>
      </c>
      <c r="V89" s="35">
        <v>0</v>
      </c>
      <c r="W89" s="46">
        <f>G89</f>
        <v>3148631.5</v>
      </c>
      <c r="X89" s="165">
        <v>2015</v>
      </c>
      <c r="Y89" s="165">
        <v>2015</v>
      </c>
      <c r="Z89" s="176"/>
    </row>
    <row r="90" spans="1:26" s="122" customFormat="1" ht="18" customHeight="1">
      <c r="A90" s="165">
        <f t="shared" si="23"/>
        <v>60</v>
      </c>
      <c r="B90" s="24" t="s">
        <v>360</v>
      </c>
      <c r="C90" s="148">
        <v>1961</v>
      </c>
      <c r="D90" s="180"/>
      <c r="E90" s="49">
        <v>2066.6</v>
      </c>
      <c r="F90" s="49">
        <v>1615.7</v>
      </c>
      <c r="G90" s="46">
        <f>H90+J90+K90+M90+O90+Q90+S90</f>
        <v>519366.77</v>
      </c>
      <c r="H90" s="35">
        <v>519366.77</v>
      </c>
      <c r="I90" s="35">
        <f>H90/F90</f>
        <v>321.45000309463393</v>
      </c>
      <c r="J90" s="35">
        <v>0</v>
      </c>
      <c r="K90" s="35">
        <v>0</v>
      </c>
      <c r="L90" s="35"/>
      <c r="M90" s="35">
        <v>0</v>
      </c>
      <c r="N90" s="35"/>
      <c r="O90" s="35">
        <v>0</v>
      </c>
      <c r="P90" s="35"/>
      <c r="Q90" s="35">
        <v>0</v>
      </c>
      <c r="R90" s="35"/>
      <c r="S90" s="35">
        <v>0</v>
      </c>
      <c r="T90" s="35">
        <v>0</v>
      </c>
      <c r="U90" s="35">
        <v>0</v>
      </c>
      <c r="V90" s="35">
        <v>0</v>
      </c>
      <c r="W90" s="46">
        <f>G90</f>
        <v>519366.77</v>
      </c>
      <c r="X90" s="165">
        <v>2016</v>
      </c>
      <c r="Y90" s="165">
        <v>2016</v>
      </c>
      <c r="Z90" s="177">
        <f>Z79+1</f>
        <v>41</v>
      </c>
    </row>
    <row r="91" spans="1:26" s="122" customFormat="1" ht="18" customHeight="1">
      <c r="A91" s="165">
        <f t="shared" si="23"/>
        <v>61</v>
      </c>
      <c r="B91" s="24" t="s">
        <v>614</v>
      </c>
      <c r="C91" s="148">
        <v>1960</v>
      </c>
      <c r="D91" s="165"/>
      <c r="E91" s="49">
        <v>3905.5</v>
      </c>
      <c r="F91" s="49">
        <v>3141.7000000000003</v>
      </c>
      <c r="G91" s="46">
        <f>H91+J91+K91+M91+O91+Q91+S91</f>
        <v>3111822.43</v>
      </c>
      <c r="H91" s="35">
        <f>3111822.43-S91</f>
        <v>3011822.43</v>
      </c>
      <c r="I91" s="35">
        <f>H91/F91</f>
        <v>958.66009803609506</v>
      </c>
      <c r="J91" s="35">
        <v>0</v>
      </c>
      <c r="K91" s="35">
        <v>0</v>
      </c>
      <c r="L91" s="35"/>
      <c r="M91" s="35">
        <v>0</v>
      </c>
      <c r="N91" s="35"/>
      <c r="O91" s="35">
        <v>0</v>
      </c>
      <c r="P91" s="35"/>
      <c r="Q91" s="35">
        <v>0</v>
      </c>
      <c r="R91" s="35"/>
      <c r="S91" s="35">
        <v>100000</v>
      </c>
      <c r="T91" s="35">
        <v>0</v>
      </c>
      <c r="U91" s="35">
        <v>0</v>
      </c>
      <c r="V91" s="35">
        <v>0</v>
      </c>
      <c r="W91" s="46">
        <f>G91</f>
        <v>3111822.43</v>
      </c>
      <c r="X91" s="165">
        <v>2016</v>
      </c>
      <c r="Y91" s="165">
        <v>2017</v>
      </c>
      <c r="Z91" s="177">
        <f>Z90+1</f>
        <v>42</v>
      </c>
    </row>
    <row r="92" spans="1:26" s="122" customFormat="1" ht="18" customHeight="1">
      <c r="A92" s="165">
        <f t="shared" si="23"/>
        <v>62</v>
      </c>
      <c r="B92" s="48" t="s">
        <v>608</v>
      </c>
      <c r="C92" s="148">
        <v>1948</v>
      </c>
      <c r="D92" s="180"/>
      <c r="E92" s="22">
        <v>2830.3</v>
      </c>
      <c r="F92" s="22">
        <v>2495.3000000000002</v>
      </c>
      <c r="G92" s="46">
        <f>H92+J92+K92+M92+O92+Q92+S92</f>
        <v>4604142.9700000007</v>
      </c>
      <c r="H92" s="35">
        <v>0</v>
      </c>
      <c r="I92" s="35"/>
      <c r="J92" s="35">
        <v>0</v>
      </c>
      <c r="K92" s="46">
        <f>F92*1724.9</f>
        <v>4304142.9700000007</v>
      </c>
      <c r="L92" s="35">
        <f>K92/F92</f>
        <v>1724.9</v>
      </c>
      <c r="M92" s="35">
        <v>0</v>
      </c>
      <c r="N92" s="35"/>
      <c r="O92" s="35">
        <v>0</v>
      </c>
      <c r="P92" s="35"/>
      <c r="Q92" s="35">
        <v>0</v>
      </c>
      <c r="R92" s="35"/>
      <c r="S92" s="35">
        <v>300000</v>
      </c>
      <c r="T92" s="35">
        <v>0</v>
      </c>
      <c r="U92" s="35">
        <v>0</v>
      </c>
      <c r="V92" s="35">
        <v>0</v>
      </c>
      <c r="W92" s="46">
        <f>G92</f>
        <v>4604142.9700000007</v>
      </c>
      <c r="X92" s="165">
        <v>2015</v>
      </c>
      <c r="Y92" s="165">
        <v>2017</v>
      </c>
      <c r="Z92" s="177">
        <f t="shared" ref="Z92:Z109" si="24">Z91+1</f>
        <v>43</v>
      </c>
    </row>
    <row r="93" spans="1:26" s="122" customFormat="1" ht="18" customHeight="1">
      <c r="A93" s="165">
        <f t="shared" si="23"/>
        <v>63</v>
      </c>
      <c r="B93" s="24" t="s">
        <v>618</v>
      </c>
      <c r="C93" s="148">
        <v>1957</v>
      </c>
      <c r="D93" s="180"/>
      <c r="E93" s="49">
        <v>7462.7</v>
      </c>
      <c r="F93" s="49">
        <v>5979.4</v>
      </c>
      <c r="G93" s="46">
        <f>H93+J93+K93+M93+O93+Q93+S93</f>
        <v>5922535.9100000001</v>
      </c>
      <c r="H93" s="35">
        <f>5922535.91-100000</f>
        <v>5822535.9100000001</v>
      </c>
      <c r="I93" s="35">
        <f>H93/F93</f>
        <v>973.76591464026501</v>
      </c>
      <c r="J93" s="35">
        <v>0</v>
      </c>
      <c r="K93" s="35">
        <v>0</v>
      </c>
      <c r="L93" s="35"/>
      <c r="M93" s="35">
        <v>0</v>
      </c>
      <c r="N93" s="35"/>
      <c r="O93" s="35">
        <v>0</v>
      </c>
      <c r="P93" s="35"/>
      <c r="Q93" s="35">
        <v>0</v>
      </c>
      <c r="R93" s="35"/>
      <c r="S93" s="35">
        <v>100000</v>
      </c>
      <c r="T93" s="35">
        <v>0</v>
      </c>
      <c r="U93" s="35">
        <v>0</v>
      </c>
      <c r="V93" s="35">
        <v>0</v>
      </c>
      <c r="W93" s="46">
        <f>G93</f>
        <v>5922535.9100000001</v>
      </c>
      <c r="X93" s="165">
        <v>2016</v>
      </c>
      <c r="Y93" s="165">
        <v>2017</v>
      </c>
      <c r="Z93" s="177">
        <f t="shared" si="24"/>
        <v>44</v>
      </c>
    </row>
    <row r="94" spans="1:26" s="122" customFormat="1" ht="18" customHeight="1">
      <c r="A94" s="165">
        <f t="shared" si="23"/>
        <v>64</v>
      </c>
      <c r="B94" s="48" t="s">
        <v>609</v>
      </c>
      <c r="C94" s="148">
        <v>1958</v>
      </c>
      <c r="D94" s="165"/>
      <c r="E94" s="22">
        <v>3295.4</v>
      </c>
      <c r="F94" s="22">
        <v>2630.6000000000004</v>
      </c>
      <c r="G94" s="46">
        <f>H94+J94+K94+M94+O94+Q94+S94</f>
        <v>1362756.02</v>
      </c>
      <c r="H94" s="35">
        <v>1262756.02</v>
      </c>
      <c r="I94" s="35">
        <f>H94/F94</f>
        <v>480.02585721888539</v>
      </c>
      <c r="J94" s="35">
        <v>0</v>
      </c>
      <c r="K94" s="35">
        <v>0</v>
      </c>
      <c r="L94" s="35"/>
      <c r="M94" s="35">
        <v>0</v>
      </c>
      <c r="N94" s="35"/>
      <c r="O94" s="35">
        <v>0</v>
      </c>
      <c r="P94" s="35"/>
      <c r="Q94" s="35">
        <v>0</v>
      </c>
      <c r="R94" s="35"/>
      <c r="S94" s="35">
        <v>100000</v>
      </c>
      <c r="T94" s="35">
        <v>0</v>
      </c>
      <c r="U94" s="35">
        <v>0</v>
      </c>
      <c r="V94" s="35">
        <v>0</v>
      </c>
      <c r="W94" s="46">
        <f>G94</f>
        <v>1362756.02</v>
      </c>
      <c r="X94" s="165">
        <v>2015</v>
      </c>
      <c r="Y94" s="165">
        <v>2017</v>
      </c>
      <c r="Z94" s="177">
        <f t="shared" si="24"/>
        <v>45</v>
      </c>
    </row>
    <row r="95" spans="1:26" s="122" customFormat="1" ht="18" customHeight="1">
      <c r="A95" s="165">
        <f t="shared" si="23"/>
        <v>65</v>
      </c>
      <c r="B95" s="24" t="s">
        <v>617</v>
      </c>
      <c r="C95" s="148">
        <v>1965</v>
      </c>
      <c r="D95" s="165"/>
      <c r="E95" s="49">
        <v>4173.3</v>
      </c>
      <c r="F95" s="49">
        <v>3205.7</v>
      </c>
      <c r="G95" s="46">
        <f>H95+J95+K95+M95+O95+Q95+S95</f>
        <v>6796180.1699999999</v>
      </c>
      <c r="H95" s="35">
        <f>3864439.29-57000</f>
        <v>3807439.29</v>
      </c>
      <c r="I95" s="35">
        <f>H95/F95</f>
        <v>1187.7091711638645</v>
      </c>
      <c r="J95" s="35">
        <v>0</v>
      </c>
      <c r="K95" s="35">
        <f>ROUND(914.54*3205.7,2)-43000</f>
        <v>2888740.88</v>
      </c>
      <c r="L95" s="35">
        <f>K95/F95</f>
        <v>901.12639361137974</v>
      </c>
      <c r="M95" s="35">
        <v>0</v>
      </c>
      <c r="N95" s="35"/>
      <c r="O95" s="35">
        <v>0</v>
      </c>
      <c r="P95" s="35"/>
      <c r="Q95" s="35">
        <v>0</v>
      </c>
      <c r="R95" s="35"/>
      <c r="S95" s="35">
        <v>100000</v>
      </c>
      <c r="T95" s="35">
        <v>0</v>
      </c>
      <c r="U95" s="35">
        <v>0</v>
      </c>
      <c r="V95" s="35">
        <v>0</v>
      </c>
      <c r="W95" s="46">
        <f>G95</f>
        <v>6796180.1699999999</v>
      </c>
      <c r="X95" s="165">
        <v>2016</v>
      </c>
      <c r="Y95" s="165">
        <v>2017</v>
      </c>
      <c r="Z95" s="177">
        <f t="shared" si="24"/>
        <v>46</v>
      </c>
    </row>
    <row r="96" spans="1:26" s="122" customFormat="1" ht="18" customHeight="1">
      <c r="A96" s="165">
        <f t="shared" si="23"/>
        <v>66</v>
      </c>
      <c r="B96" s="24" t="s">
        <v>158</v>
      </c>
      <c r="C96" s="148">
        <v>1968</v>
      </c>
      <c r="D96" s="51"/>
      <c r="E96" s="126">
        <v>5328.8</v>
      </c>
      <c r="F96" s="45">
        <v>4687.2</v>
      </c>
      <c r="G96" s="46">
        <f>SUM(H96:S96)</f>
        <v>10127498.079999998</v>
      </c>
      <c r="H96" s="35">
        <f>4291247.31</f>
        <v>4291247.3099999996</v>
      </c>
      <c r="I96" s="35"/>
      <c r="J96" s="35">
        <v>0</v>
      </c>
      <c r="K96" s="35">
        <v>5836250.7699999996</v>
      </c>
      <c r="L96" s="35"/>
      <c r="M96" s="35">
        <v>0</v>
      </c>
      <c r="N96" s="35"/>
      <c r="O96" s="35">
        <v>0</v>
      </c>
      <c r="P96" s="35"/>
      <c r="Q96" s="35">
        <v>0</v>
      </c>
      <c r="R96" s="35"/>
      <c r="S96" s="35">
        <v>0</v>
      </c>
      <c r="T96" s="35">
        <v>1557322.06</v>
      </c>
      <c r="U96" s="35">
        <v>0</v>
      </c>
      <c r="V96" s="35">
        <v>2733925.25</v>
      </c>
      <c r="W96" s="46">
        <f>5984978.3-148727.53</f>
        <v>5836250.7699999996</v>
      </c>
      <c r="X96" s="165">
        <v>2015</v>
      </c>
      <c r="Y96" s="165">
        <v>2016</v>
      </c>
      <c r="Z96" s="177">
        <f t="shared" si="24"/>
        <v>47</v>
      </c>
    </row>
    <row r="97" spans="1:26" s="122" customFormat="1" ht="18" customHeight="1">
      <c r="A97" s="165">
        <f t="shared" si="23"/>
        <v>67</v>
      </c>
      <c r="B97" s="24" t="s">
        <v>616</v>
      </c>
      <c r="C97" s="148">
        <v>1970</v>
      </c>
      <c r="D97" s="165"/>
      <c r="E97" s="49">
        <v>6872.3</v>
      </c>
      <c r="F97" s="49">
        <v>6281.2</v>
      </c>
      <c r="G97" s="46">
        <f>H97+J97+K97+M97+O97+Q97+S97</f>
        <v>11965874.440000001</v>
      </c>
      <c r="H97" s="35">
        <f>6221465.79-52000</f>
        <v>6169465.79</v>
      </c>
      <c r="I97" s="35">
        <f>H97/F97</f>
        <v>982.21132745335285</v>
      </c>
      <c r="J97" s="35">
        <v>0</v>
      </c>
      <c r="K97" s="35">
        <f>ROUND(914.54*6281.2,2)-48000</f>
        <v>5696408.6500000004</v>
      </c>
      <c r="L97" s="35">
        <f>K97/F97</f>
        <v>906.8981484429728</v>
      </c>
      <c r="M97" s="35">
        <v>0</v>
      </c>
      <c r="N97" s="35"/>
      <c r="O97" s="35">
        <v>0</v>
      </c>
      <c r="P97" s="35"/>
      <c r="Q97" s="35">
        <v>0</v>
      </c>
      <c r="R97" s="35"/>
      <c r="S97" s="35">
        <v>100000</v>
      </c>
      <c r="T97" s="35">
        <v>0</v>
      </c>
      <c r="U97" s="35">
        <v>0</v>
      </c>
      <c r="V97" s="35">
        <v>0</v>
      </c>
      <c r="W97" s="46">
        <f>G97</f>
        <v>11965874.440000001</v>
      </c>
      <c r="X97" s="165">
        <v>2016</v>
      </c>
      <c r="Y97" s="165">
        <v>2017</v>
      </c>
      <c r="Z97" s="177">
        <f t="shared" si="24"/>
        <v>48</v>
      </c>
    </row>
    <row r="98" spans="1:26" s="122" customFormat="1" ht="18" customHeight="1">
      <c r="A98" s="165">
        <f t="shared" si="23"/>
        <v>68</v>
      </c>
      <c r="B98" s="24" t="s">
        <v>159</v>
      </c>
      <c r="C98" s="148">
        <v>1957</v>
      </c>
      <c r="D98" s="51"/>
      <c r="E98" s="171">
        <v>855.89</v>
      </c>
      <c r="F98" s="171">
        <v>767.89</v>
      </c>
      <c r="G98" s="46">
        <f>H98+J98+K98+M98+O98+Q98+S98</f>
        <v>1901927.35</v>
      </c>
      <c r="H98" s="35">
        <v>1901927.35</v>
      </c>
      <c r="I98" s="35">
        <f>H98/F98</f>
        <v>2476.8226568909613</v>
      </c>
      <c r="J98" s="35">
        <v>0</v>
      </c>
      <c r="K98" s="35">
        <v>0</v>
      </c>
      <c r="L98" s="35"/>
      <c r="M98" s="35">
        <v>0</v>
      </c>
      <c r="N98" s="35"/>
      <c r="O98" s="35">
        <v>0</v>
      </c>
      <c r="P98" s="35"/>
      <c r="Q98" s="35">
        <v>0</v>
      </c>
      <c r="R98" s="35"/>
      <c r="S98" s="35">
        <v>0</v>
      </c>
      <c r="T98" s="35">
        <v>603164.12</v>
      </c>
      <c r="U98" s="35">
        <v>0</v>
      </c>
      <c r="V98" s="35">
        <v>1058872.5900000001</v>
      </c>
      <c r="W98" s="46">
        <f>239890.64</f>
        <v>239890.64</v>
      </c>
      <c r="X98" s="165">
        <v>2015</v>
      </c>
      <c r="Y98" s="165">
        <v>2016</v>
      </c>
      <c r="Z98" s="177">
        <f t="shared" si="24"/>
        <v>49</v>
      </c>
    </row>
    <row r="99" spans="1:26" s="122" customFormat="1" ht="18" customHeight="1">
      <c r="A99" s="165">
        <f t="shared" si="23"/>
        <v>69</v>
      </c>
      <c r="B99" s="48" t="s">
        <v>610</v>
      </c>
      <c r="C99" s="148">
        <v>1958</v>
      </c>
      <c r="D99" s="165"/>
      <c r="E99" s="22">
        <v>1366.6</v>
      </c>
      <c r="F99" s="22">
        <v>969.3</v>
      </c>
      <c r="G99" s="46">
        <f>H99+J99+K99+M99+O99+Q99+S99</f>
        <v>856899.97</v>
      </c>
      <c r="H99" s="35">
        <v>756899.97</v>
      </c>
      <c r="I99" s="35">
        <f>H99/F99</f>
        <v>780.87276385020118</v>
      </c>
      <c r="J99" s="35">
        <v>0</v>
      </c>
      <c r="K99" s="35">
        <v>0</v>
      </c>
      <c r="L99" s="35"/>
      <c r="M99" s="35">
        <v>0</v>
      </c>
      <c r="N99" s="35"/>
      <c r="O99" s="35">
        <v>0</v>
      </c>
      <c r="P99" s="35"/>
      <c r="Q99" s="35">
        <v>0</v>
      </c>
      <c r="R99" s="35"/>
      <c r="S99" s="35">
        <v>100000</v>
      </c>
      <c r="T99" s="35">
        <v>0</v>
      </c>
      <c r="U99" s="35">
        <v>0</v>
      </c>
      <c r="V99" s="35">
        <v>0</v>
      </c>
      <c r="W99" s="46">
        <f>G99</f>
        <v>856899.97</v>
      </c>
      <c r="X99" s="165">
        <v>2015</v>
      </c>
      <c r="Y99" s="165">
        <v>2017</v>
      </c>
      <c r="Z99" s="177">
        <f t="shared" si="24"/>
        <v>50</v>
      </c>
    </row>
    <row r="100" spans="1:26" s="122" customFormat="1" ht="18" customHeight="1">
      <c r="A100" s="165">
        <f t="shared" si="23"/>
        <v>70</v>
      </c>
      <c r="B100" s="24" t="s">
        <v>359</v>
      </c>
      <c r="C100" s="148">
        <v>1957</v>
      </c>
      <c r="D100" s="165"/>
      <c r="E100" s="49">
        <v>1872</v>
      </c>
      <c r="F100" s="49">
        <v>1306.9000000000001</v>
      </c>
      <c r="G100" s="46">
        <f>H100+J100+K100+M100+O100+Q100+S100</f>
        <v>745312</v>
      </c>
      <c r="H100" s="35">
        <v>420103</v>
      </c>
      <c r="I100" s="35">
        <f>H100/F100</f>
        <v>321.44999617415255</v>
      </c>
      <c r="J100" s="35">
        <v>0</v>
      </c>
      <c r="K100" s="35">
        <v>0</v>
      </c>
      <c r="L100" s="35"/>
      <c r="M100" s="35">
        <v>325209</v>
      </c>
      <c r="N100" s="35">
        <f>M100/F100</f>
        <v>248.84000306067793</v>
      </c>
      <c r="O100" s="35">
        <v>0</v>
      </c>
      <c r="P100" s="35"/>
      <c r="Q100" s="35">
        <v>0</v>
      </c>
      <c r="R100" s="35"/>
      <c r="S100" s="35">
        <v>0</v>
      </c>
      <c r="T100" s="35">
        <v>0</v>
      </c>
      <c r="U100" s="35">
        <v>0</v>
      </c>
      <c r="V100" s="35">
        <v>0</v>
      </c>
      <c r="W100" s="46">
        <f>G100</f>
        <v>745312</v>
      </c>
      <c r="X100" s="165">
        <v>2016</v>
      </c>
      <c r="Y100" s="165">
        <v>2016</v>
      </c>
      <c r="Z100" s="177">
        <f t="shared" si="24"/>
        <v>51</v>
      </c>
    </row>
    <row r="101" spans="1:26" s="122" customFormat="1" ht="18" customHeight="1">
      <c r="A101" s="165">
        <f t="shared" si="23"/>
        <v>71</v>
      </c>
      <c r="B101" s="24" t="s">
        <v>615</v>
      </c>
      <c r="C101" s="148">
        <v>1962</v>
      </c>
      <c r="D101" s="165"/>
      <c r="E101" s="49">
        <v>4152.7</v>
      </c>
      <c r="F101" s="49">
        <v>3433.3999999999996</v>
      </c>
      <c r="G101" s="46">
        <f>H101+J101+K101+M101+O101+Q101+S101</f>
        <v>7278911</v>
      </c>
      <c r="H101" s="35">
        <f>4138929.36-57000</f>
        <v>4081929.36</v>
      </c>
      <c r="I101" s="35">
        <f>H101/F101</f>
        <v>1188.8883788664298</v>
      </c>
      <c r="J101" s="35">
        <v>0</v>
      </c>
      <c r="K101" s="35">
        <f>ROUND(914.54*3433.4,2)-43000</f>
        <v>3096981.64</v>
      </c>
      <c r="L101" s="35">
        <f>K101/F101</f>
        <v>902.01597250538839</v>
      </c>
      <c r="M101" s="35">
        <v>0</v>
      </c>
      <c r="N101" s="35"/>
      <c r="O101" s="35">
        <v>0</v>
      </c>
      <c r="P101" s="35"/>
      <c r="Q101" s="35">
        <v>0</v>
      </c>
      <c r="R101" s="35"/>
      <c r="S101" s="35">
        <v>100000</v>
      </c>
      <c r="T101" s="35">
        <v>0</v>
      </c>
      <c r="U101" s="35">
        <v>0</v>
      </c>
      <c r="V101" s="35">
        <v>0</v>
      </c>
      <c r="W101" s="46">
        <f>G101</f>
        <v>7278911</v>
      </c>
      <c r="X101" s="165">
        <v>2016</v>
      </c>
      <c r="Y101" s="165">
        <v>2017</v>
      </c>
      <c r="Z101" s="177">
        <f t="shared" si="24"/>
        <v>52</v>
      </c>
    </row>
    <row r="102" spans="1:26" s="122" customFormat="1" ht="18" customHeight="1">
      <c r="A102" s="165">
        <f t="shared" si="23"/>
        <v>72</v>
      </c>
      <c r="B102" s="48" t="s">
        <v>362</v>
      </c>
      <c r="C102" s="148">
        <v>1958</v>
      </c>
      <c r="D102" s="165"/>
      <c r="E102" s="22">
        <v>1018.2</v>
      </c>
      <c r="F102" s="22">
        <v>919.6</v>
      </c>
      <c r="G102" s="46">
        <f>H102+J102+K102+M102+O102+Q102+S102</f>
        <v>336573.6</v>
      </c>
      <c r="H102" s="35">
        <v>336573.6</v>
      </c>
      <c r="I102" s="35">
        <f>H102/F102</f>
        <v>365.99999999999994</v>
      </c>
      <c r="J102" s="35">
        <v>0</v>
      </c>
      <c r="K102" s="35">
        <v>0</v>
      </c>
      <c r="L102" s="35"/>
      <c r="M102" s="35">
        <v>0</v>
      </c>
      <c r="N102" s="35"/>
      <c r="O102" s="35">
        <v>0</v>
      </c>
      <c r="P102" s="35"/>
      <c r="Q102" s="35">
        <v>0</v>
      </c>
      <c r="R102" s="35"/>
      <c r="S102" s="35">
        <v>0</v>
      </c>
      <c r="T102" s="35">
        <v>0</v>
      </c>
      <c r="U102" s="35">
        <v>0</v>
      </c>
      <c r="V102" s="35">
        <v>0</v>
      </c>
      <c r="W102" s="46">
        <f>G102</f>
        <v>336573.6</v>
      </c>
      <c r="X102" s="165">
        <v>2015</v>
      </c>
      <c r="Y102" s="165">
        <v>2016</v>
      </c>
      <c r="Z102" s="177">
        <f t="shared" si="24"/>
        <v>53</v>
      </c>
    </row>
    <row r="103" spans="1:26" s="122" customFormat="1" ht="18" customHeight="1">
      <c r="A103" s="165">
        <f t="shared" si="23"/>
        <v>73</v>
      </c>
      <c r="B103" s="24" t="s">
        <v>361</v>
      </c>
      <c r="C103" s="148">
        <v>1947</v>
      </c>
      <c r="D103" s="165"/>
      <c r="E103" s="49">
        <v>1228.7</v>
      </c>
      <c r="F103" s="49">
        <v>916.1</v>
      </c>
      <c r="G103" s="46">
        <f>H103+J103+K103+M103+O103+Q103+S103</f>
        <v>294480.34999999998</v>
      </c>
      <c r="H103" s="35">
        <v>294480.34999999998</v>
      </c>
      <c r="I103" s="35">
        <f>H103/F103</f>
        <v>321.45000545791942</v>
      </c>
      <c r="J103" s="35">
        <v>0</v>
      </c>
      <c r="K103" s="35">
        <v>0</v>
      </c>
      <c r="L103" s="35"/>
      <c r="M103" s="35">
        <v>0</v>
      </c>
      <c r="N103" s="35"/>
      <c r="O103" s="35">
        <v>0</v>
      </c>
      <c r="P103" s="35"/>
      <c r="Q103" s="35">
        <v>0</v>
      </c>
      <c r="R103" s="35"/>
      <c r="S103" s="35">
        <v>0</v>
      </c>
      <c r="T103" s="35">
        <v>0</v>
      </c>
      <c r="U103" s="35">
        <v>0</v>
      </c>
      <c r="V103" s="35">
        <v>0</v>
      </c>
      <c r="W103" s="46">
        <f>G103</f>
        <v>294480.34999999998</v>
      </c>
      <c r="X103" s="165">
        <v>2016</v>
      </c>
      <c r="Y103" s="165">
        <v>2016</v>
      </c>
      <c r="Z103" s="177">
        <f t="shared" si="24"/>
        <v>54</v>
      </c>
    </row>
    <row r="104" spans="1:26" s="122" customFormat="1" ht="18" customHeight="1">
      <c r="A104" s="165">
        <f t="shared" si="23"/>
        <v>74</v>
      </c>
      <c r="B104" s="24" t="s">
        <v>160</v>
      </c>
      <c r="C104" s="148">
        <v>1957</v>
      </c>
      <c r="D104" s="51"/>
      <c r="E104" s="126">
        <v>5627.5</v>
      </c>
      <c r="F104" s="45">
        <v>4919.2</v>
      </c>
      <c r="G104" s="46">
        <f>SUM(H104:S104)</f>
        <v>1538947.39</v>
      </c>
      <c r="H104" s="35">
        <v>1538947.39</v>
      </c>
      <c r="I104" s="35"/>
      <c r="J104" s="35">
        <v>0</v>
      </c>
      <c r="K104" s="35">
        <v>0</v>
      </c>
      <c r="L104" s="35"/>
      <c r="M104" s="35">
        <v>0</v>
      </c>
      <c r="N104" s="35"/>
      <c r="O104" s="35">
        <v>0</v>
      </c>
      <c r="P104" s="35"/>
      <c r="Q104" s="35">
        <v>0</v>
      </c>
      <c r="R104" s="35"/>
      <c r="S104" s="35">
        <v>0</v>
      </c>
      <c r="T104" s="35">
        <v>0</v>
      </c>
      <c r="U104" s="35">
        <v>0</v>
      </c>
      <c r="V104" s="35">
        <v>0</v>
      </c>
      <c r="W104" s="46">
        <f>G104</f>
        <v>1538947.39</v>
      </c>
      <c r="X104" s="165">
        <v>2015</v>
      </c>
      <c r="Y104" s="165">
        <v>2016</v>
      </c>
      <c r="Z104" s="177">
        <f t="shared" si="24"/>
        <v>55</v>
      </c>
    </row>
    <row r="105" spans="1:26" s="122" customFormat="1" ht="18" customHeight="1">
      <c r="A105" s="165">
        <f t="shared" si="23"/>
        <v>75</v>
      </c>
      <c r="B105" s="48" t="s">
        <v>611</v>
      </c>
      <c r="C105" s="148">
        <v>1951</v>
      </c>
      <c r="D105" s="165"/>
      <c r="E105" s="22">
        <v>1046.8</v>
      </c>
      <c r="F105" s="22">
        <v>677.5</v>
      </c>
      <c r="G105" s="46">
        <f>H105+J105+K105+M105+O105+Q105+S105</f>
        <v>816719.48</v>
      </c>
      <c r="H105" s="35">
        <v>716719.48</v>
      </c>
      <c r="I105" s="35">
        <f>H105/F105</f>
        <v>1057.8885313653136</v>
      </c>
      <c r="J105" s="35">
        <v>0</v>
      </c>
      <c r="K105" s="35">
        <v>0</v>
      </c>
      <c r="L105" s="35"/>
      <c r="M105" s="35">
        <v>0</v>
      </c>
      <c r="N105" s="35"/>
      <c r="O105" s="35">
        <v>0</v>
      </c>
      <c r="P105" s="35"/>
      <c r="Q105" s="35">
        <v>0</v>
      </c>
      <c r="R105" s="35"/>
      <c r="S105" s="35">
        <v>100000</v>
      </c>
      <c r="T105" s="35">
        <v>0</v>
      </c>
      <c r="U105" s="35">
        <v>0</v>
      </c>
      <c r="V105" s="35">
        <v>0</v>
      </c>
      <c r="W105" s="46">
        <f>G105</f>
        <v>816719.48</v>
      </c>
      <c r="X105" s="165">
        <v>2015</v>
      </c>
      <c r="Y105" s="165">
        <v>2017</v>
      </c>
      <c r="Z105" s="177">
        <f t="shared" si="24"/>
        <v>56</v>
      </c>
    </row>
    <row r="106" spans="1:26" s="122" customFormat="1" ht="18" customHeight="1">
      <c r="A106" s="165">
        <f t="shared" si="23"/>
        <v>76</v>
      </c>
      <c r="B106" s="48" t="s">
        <v>161</v>
      </c>
      <c r="C106" s="148">
        <v>1950</v>
      </c>
      <c r="D106" s="165"/>
      <c r="E106" s="22">
        <v>768.3</v>
      </c>
      <c r="F106" s="22">
        <v>752.9</v>
      </c>
      <c r="G106" s="46">
        <f>H106+J106+K106+M106+O106+Q106+S106</f>
        <v>275561.39999999997</v>
      </c>
      <c r="H106" s="35">
        <v>275561.39999999997</v>
      </c>
      <c r="I106" s="35">
        <f>H106/F106</f>
        <v>365.99999999999994</v>
      </c>
      <c r="J106" s="35">
        <v>0</v>
      </c>
      <c r="K106" s="35">
        <v>0</v>
      </c>
      <c r="L106" s="35"/>
      <c r="M106" s="35">
        <v>0</v>
      </c>
      <c r="N106" s="35"/>
      <c r="O106" s="35">
        <v>0</v>
      </c>
      <c r="P106" s="35"/>
      <c r="Q106" s="35">
        <v>0</v>
      </c>
      <c r="R106" s="35"/>
      <c r="S106" s="35">
        <v>0</v>
      </c>
      <c r="T106" s="35">
        <v>0</v>
      </c>
      <c r="U106" s="35">
        <v>0</v>
      </c>
      <c r="V106" s="35">
        <v>0</v>
      </c>
      <c r="W106" s="46">
        <f>G106</f>
        <v>275561.39999999997</v>
      </c>
      <c r="X106" s="165">
        <v>2015</v>
      </c>
      <c r="Y106" s="165">
        <v>2016</v>
      </c>
      <c r="Z106" s="177">
        <f t="shared" si="24"/>
        <v>57</v>
      </c>
    </row>
    <row r="107" spans="1:26" s="122" customFormat="1" ht="18" customHeight="1">
      <c r="A107" s="165">
        <f t="shared" si="23"/>
        <v>77</v>
      </c>
      <c r="B107" s="48" t="s">
        <v>612</v>
      </c>
      <c r="C107" s="148">
        <v>1951</v>
      </c>
      <c r="D107" s="165"/>
      <c r="E107" s="22">
        <v>1053.8</v>
      </c>
      <c r="F107" s="22">
        <v>693.4</v>
      </c>
      <c r="G107" s="46">
        <f>H107+J107+K107+M107+O107+Q107+S107</f>
        <v>835886.77</v>
      </c>
      <c r="H107" s="35">
        <v>735886.77</v>
      </c>
      <c r="I107" s="35">
        <f>H107/F107</f>
        <v>1061.2731035477359</v>
      </c>
      <c r="J107" s="35">
        <v>0</v>
      </c>
      <c r="K107" s="35">
        <v>0</v>
      </c>
      <c r="L107" s="35"/>
      <c r="M107" s="35">
        <v>0</v>
      </c>
      <c r="N107" s="35"/>
      <c r="O107" s="35">
        <v>0</v>
      </c>
      <c r="P107" s="35"/>
      <c r="Q107" s="35">
        <v>0</v>
      </c>
      <c r="R107" s="35"/>
      <c r="S107" s="35">
        <v>100000</v>
      </c>
      <c r="T107" s="35">
        <v>0</v>
      </c>
      <c r="U107" s="35">
        <v>0</v>
      </c>
      <c r="V107" s="35">
        <v>0</v>
      </c>
      <c r="W107" s="46">
        <f>G107</f>
        <v>835886.77</v>
      </c>
      <c r="X107" s="165">
        <v>2015</v>
      </c>
      <c r="Y107" s="165">
        <v>2017</v>
      </c>
      <c r="Z107" s="177">
        <f t="shared" si="24"/>
        <v>58</v>
      </c>
    </row>
    <row r="108" spans="1:26" s="122" customFormat="1" ht="18" customHeight="1">
      <c r="A108" s="165">
        <f t="shared" si="23"/>
        <v>78</v>
      </c>
      <c r="B108" s="48" t="s">
        <v>613</v>
      </c>
      <c r="C108" s="148">
        <v>1949</v>
      </c>
      <c r="D108" s="165"/>
      <c r="E108" s="22">
        <v>1046.8</v>
      </c>
      <c r="F108" s="22">
        <v>697.5</v>
      </c>
      <c r="G108" s="46">
        <f>H108+J108+K108+M108+O108+Q108+S108</f>
        <v>840829.28</v>
      </c>
      <c r="H108" s="35">
        <v>740829.28</v>
      </c>
      <c r="I108" s="35">
        <f>H108/F108</f>
        <v>1062.1208315412186</v>
      </c>
      <c r="J108" s="35">
        <v>0</v>
      </c>
      <c r="K108" s="35">
        <v>0</v>
      </c>
      <c r="L108" s="35"/>
      <c r="M108" s="35">
        <v>0</v>
      </c>
      <c r="N108" s="35"/>
      <c r="O108" s="35">
        <v>0</v>
      </c>
      <c r="P108" s="35"/>
      <c r="Q108" s="35">
        <v>0</v>
      </c>
      <c r="R108" s="35"/>
      <c r="S108" s="35">
        <v>100000</v>
      </c>
      <c r="T108" s="35">
        <v>0</v>
      </c>
      <c r="U108" s="35">
        <v>0</v>
      </c>
      <c r="V108" s="35">
        <v>0</v>
      </c>
      <c r="W108" s="46">
        <f>G108</f>
        <v>840829.28</v>
      </c>
      <c r="X108" s="165">
        <v>2015</v>
      </c>
      <c r="Y108" s="165">
        <v>2017</v>
      </c>
      <c r="Z108" s="177">
        <f t="shared" si="24"/>
        <v>59</v>
      </c>
    </row>
    <row r="109" spans="1:26" s="122" customFormat="1" ht="18" customHeight="1">
      <c r="A109" s="165">
        <f t="shared" si="23"/>
        <v>79</v>
      </c>
      <c r="B109" s="48" t="s">
        <v>162</v>
      </c>
      <c r="C109" s="148">
        <v>1952</v>
      </c>
      <c r="D109" s="165"/>
      <c r="E109" s="22">
        <v>766.7</v>
      </c>
      <c r="F109" s="22">
        <v>692.6</v>
      </c>
      <c r="G109" s="46">
        <f>H109+J109+K109+M109+O109+Q109+S109</f>
        <v>612286.1</v>
      </c>
      <c r="H109" s="35">
        <v>512286.1</v>
      </c>
      <c r="I109" s="35">
        <f>H109/F109</f>
        <v>739.65651169506202</v>
      </c>
      <c r="J109" s="35">
        <v>0</v>
      </c>
      <c r="K109" s="35">
        <v>0</v>
      </c>
      <c r="L109" s="35"/>
      <c r="M109" s="35">
        <v>0</v>
      </c>
      <c r="N109" s="35"/>
      <c r="O109" s="35">
        <v>0</v>
      </c>
      <c r="P109" s="35"/>
      <c r="Q109" s="35">
        <v>0</v>
      </c>
      <c r="R109" s="35"/>
      <c r="S109" s="35">
        <v>100000</v>
      </c>
      <c r="T109" s="35">
        <v>0</v>
      </c>
      <c r="U109" s="35">
        <v>0</v>
      </c>
      <c r="V109" s="35">
        <v>0</v>
      </c>
      <c r="W109" s="46">
        <f>G109</f>
        <v>612286.1</v>
      </c>
      <c r="X109" s="165">
        <v>2015</v>
      </c>
      <c r="Y109" s="165">
        <v>2017</v>
      </c>
      <c r="Z109" s="177">
        <f t="shared" si="24"/>
        <v>60</v>
      </c>
    </row>
    <row r="110" spans="1:26" s="120" customFormat="1" ht="19.5" customHeight="1">
      <c r="A110" s="185" t="s">
        <v>208</v>
      </c>
      <c r="B110" s="185"/>
      <c r="C110" s="149"/>
      <c r="D110" s="80"/>
      <c r="E110" s="127">
        <v>0</v>
      </c>
      <c r="F110" s="127">
        <v>0</v>
      </c>
      <c r="G110" s="128">
        <v>0</v>
      </c>
      <c r="H110" s="127">
        <v>0</v>
      </c>
      <c r="I110" s="127"/>
      <c r="J110" s="127">
        <v>0</v>
      </c>
      <c r="K110" s="127">
        <v>0</v>
      </c>
      <c r="L110" s="127"/>
      <c r="M110" s="127">
        <v>0</v>
      </c>
      <c r="N110" s="127"/>
      <c r="O110" s="127">
        <v>0</v>
      </c>
      <c r="P110" s="127"/>
      <c r="Q110" s="127">
        <v>0</v>
      </c>
      <c r="R110" s="127"/>
      <c r="S110" s="127">
        <v>0</v>
      </c>
      <c r="T110" s="127">
        <v>0</v>
      </c>
      <c r="U110" s="127">
        <v>0</v>
      </c>
      <c r="V110" s="127">
        <v>0</v>
      </c>
      <c r="W110" s="128">
        <v>0</v>
      </c>
      <c r="X110" s="20" t="s">
        <v>447</v>
      </c>
      <c r="Y110" s="20" t="s">
        <v>447</v>
      </c>
      <c r="Z110" s="178"/>
    </row>
    <row r="111" spans="1:26" s="120" customFormat="1" ht="19.5" customHeight="1">
      <c r="A111" s="185" t="s">
        <v>206</v>
      </c>
      <c r="B111" s="185"/>
      <c r="C111" s="148"/>
      <c r="D111" s="165"/>
      <c r="E111" s="19">
        <f>SUM(E84:E89)</f>
        <v>20349</v>
      </c>
      <c r="F111" s="19">
        <f t="shared" ref="F111:W111" si="25">SUM(F84:F89)</f>
        <v>16114.7</v>
      </c>
      <c r="G111" s="19">
        <f t="shared" si="25"/>
        <v>23208296.920000002</v>
      </c>
      <c r="H111" s="19">
        <f t="shared" si="25"/>
        <v>15591297.359999999</v>
      </c>
      <c r="I111" s="19">
        <f t="shared" si="25"/>
        <v>0</v>
      </c>
      <c r="J111" s="19">
        <f t="shared" si="25"/>
        <v>0</v>
      </c>
      <c r="K111" s="19">
        <f t="shared" si="25"/>
        <v>7616999.5599999996</v>
      </c>
      <c r="L111" s="19">
        <f t="shared" si="25"/>
        <v>0</v>
      </c>
      <c r="M111" s="19">
        <f t="shared" si="25"/>
        <v>0</v>
      </c>
      <c r="N111" s="19">
        <f t="shared" si="25"/>
        <v>0</v>
      </c>
      <c r="O111" s="19">
        <f t="shared" si="25"/>
        <v>0</v>
      </c>
      <c r="P111" s="19">
        <f t="shared" si="25"/>
        <v>0</v>
      </c>
      <c r="Q111" s="19">
        <f t="shared" si="25"/>
        <v>0</v>
      </c>
      <c r="R111" s="19">
        <f t="shared" si="25"/>
        <v>0</v>
      </c>
      <c r="S111" s="19">
        <f t="shared" si="25"/>
        <v>0</v>
      </c>
      <c r="T111" s="19">
        <f t="shared" si="25"/>
        <v>8568345.9800000004</v>
      </c>
      <c r="U111" s="19">
        <f t="shared" si="25"/>
        <v>0</v>
      </c>
      <c r="V111" s="19">
        <f t="shared" si="25"/>
        <v>10596321.690000001</v>
      </c>
      <c r="W111" s="19">
        <f t="shared" si="25"/>
        <v>4043629.25</v>
      </c>
      <c r="X111" s="20" t="s">
        <v>447</v>
      </c>
      <c r="Y111" s="20" t="s">
        <v>447</v>
      </c>
      <c r="Z111" s="178"/>
    </row>
    <row r="112" spans="1:26" s="120" customFormat="1" ht="19.5" customHeight="1">
      <c r="A112" s="185" t="s">
        <v>207</v>
      </c>
      <c r="B112" s="185"/>
      <c r="C112" s="148"/>
      <c r="D112" s="165"/>
      <c r="E112" s="19">
        <f>SUM(E90:E109)</f>
        <v>56738.89</v>
      </c>
      <c r="F112" s="19">
        <f t="shared" ref="F112:W112" si="26">SUM(F90:F109)</f>
        <v>46783.09</v>
      </c>
      <c r="G112" s="19">
        <f t="shared" si="26"/>
        <v>60744511.480000012</v>
      </c>
      <c r="H112" s="19">
        <f t="shared" si="26"/>
        <v>37196777.57</v>
      </c>
      <c r="I112" s="19">
        <f t="shared" si="26"/>
        <v>14646.245150996092</v>
      </c>
      <c r="J112" s="19">
        <f t="shared" si="26"/>
        <v>0</v>
      </c>
      <c r="K112" s="19">
        <f t="shared" si="26"/>
        <v>21822524.910000004</v>
      </c>
      <c r="L112" s="19">
        <f t="shared" si="26"/>
        <v>4434.9405145597411</v>
      </c>
      <c r="M112" s="19">
        <f t="shared" si="26"/>
        <v>325209</v>
      </c>
      <c r="N112" s="19">
        <f t="shared" si="26"/>
        <v>248.84000306067793</v>
      </c>
      <c r="O112" s="19">
        <f t="shared" si="26"/>
        <v>0</v>
      </c>
      <c r="P112" s="19">
        <f t="shared" si="26"/>
        <v>0</v>
      </c>
      <c r="Q112" s="19">
        <f t="shared" si="26"/>
        <v>0</v>
      </c>
      <c r="R112" s="19">
        <f t="shared" si="26"/>
        <v>0</v>
      </c>
      <c r="S112" s="19">
        <f t="shared" si="26"/>
        <v>1400000</v>
      </c>
      <c r="T112" s="19">
        <f t="shared" si="26"/>
        <v>2160486.1800000002</v>
      </c>
      <c r="U112" s="19">
        <f t="shared" si="26"/>
        <v>0</v>
      </c>
      <c r="V112" s="19">
        <f t="shared" si="26"/>
        <v>3792797.84</v>
      </c>
      <c r="W112" s="19">
        <f t="shared" si="26"/>
        <v>54791227.460000008</v>
      </c>
      <c r="X112" s="20" t="s">
        <v>447</v>
      </c>
      <c r="Y112" s="20" t="s">
        <v>447</v>
      </c>
      <c r="Z112" s="178"/>
    </row>
    <row r="113" spans="1:26" s="120" customFormat="1" ht="18" customHeight="1">
      <c r="A113" s="187" t="s">
        <v>115</v>
      </c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23"/>
      <c r="Y113" s="123"/>
      <c r="Z113" s="178"/>
    </row>
    <row r="114" spans="1:26" s="122" customFormat="1" ht="18" customHeight="1">
      <c r="A114" s="165">
        <f>A109+1</f>
        <v>80</v>
      </c>
      <c r="B114" s="24" t="s">
        <v>34</v>
      </c>
      <c r="C114" s="148">
        <v>1972</v>
      </c>
      <c r="D114" s="51"/>
      <c r="E114" s="22">
        <v>4470.3</v>
      </c>
      <c r="F114" s="49">
        <v>4409.5</v>
      </c>
      <c r="G114" s="46">
        <f>SUM(H114:S114)</f>
        <v>650033.69999999995</v>
      </c>
      <c r="H114" s="23">
        <v>650033.69999999995</v>
      </c>
      <c r="I114" s="23"/>
      <c r="J114" s="35">
        <v>0</v>
      </c>
      <c r="K114" s="35">
        <v>0</v>
      </c>
      <c r="L114" s="35"/>
      <c r="M114" s="35">
        <v>0</v>
      </c>
      <c r="N114" s="35"/>
      <c r="O114" s="35">
        <v>0</v>
      </c>
      <c r="P114" s="35"/>
      <c r="Q114" s="35">
        <v>0</v>
      </c>
      <c r="R114" s="35"/>
      <c r="S114" s="35">
        <v>0</v>
      </c>
      <c r="T114" s="35">
        <v>0</v>
      </c>
      <c r="U114" s="35">
        <v>0</v>
      </c>
      <c r="V114" s="23">
        <v>650033.69999999995</v>
      </c>
      <c r="W114" s="46">
        <v>0</v>
      </c>
      <c r="X114" s="165">
        <v>2014</v>
      </c>
      <c r="Y114" s="165">
        <v>2014</v>
      </c>
      <c r="Z114" s="176"/>
    </row>
    <row r="115" spans="1:26" s="122" customFormat="1" ht="18" customHeight="1">
      <c r="A115" s="165">
        <f>A114+1</f>
        <v>81</v>
      </c>
      <c r="B115" s="24" t="s">
        <v>35</v>
      </c>
      <c r="C115" s="148">
        <v>1959</v>
      </c>
      <c r="D115" s="51"/>
      <c r="E115" s="22">
        <v>767</v>
      </c>
      <c r="F115" s="49">
        <v>705.1</v>
      </c>
      <c r="G115" s="46">
        <f>SUM(H115:S115)</f>
        <v>397962.39</v>
      </c>
      <c r="H115" s="23">
        <v>397962.39</v>
      </c>
      <c r="I115" s="23"/>
      <c r="J115" s="35">
        <v>0</v>
      </c>
      <c r="K115" s="35">
        <v>0</v>
      </c>
      <c r="L115" s="35"/>
      <c r="M115" s="35">
        <v>0</v>
      </c>
      <c r="N115" s="35"/>
      <c r="O115" s="35">
        <v>0</v>
      </c>
      <c r="P115" s="35"/>
      <c r="Q115" s="35">
        <v>0</v>
      </c>
      <c r="R115" s="35"/>
      <c r="S115" s="35">
        <v>0</v>
      </c>
      <c r="T115" s="35">
        <v>0</v>
      </c>
      <c r="U115" s="35">
        <v>0</v>
      </c>
      <c r="V115" s="23">
        <v>397962.39</v>
      </c>
      <c r="W115" s="46">
        <v>0</v>
      </c>
      <c r="X115" s="165">
        <v>2014</v>
      </c>
      <c r="Y115" s="165">
        <v>2014</v>
      </c>
      <c r="Z115" s="176"/>
    </row>
    <row r="116" spans="1:26" s="122" customFormat="1" ht="18" customHeight="1">
      <c r="A116" s="165">
        <f t="shared" ref="A116:A179" si="27">A115+1</f>
        <v>82</v>
      </c>
      <c r="B116" s="24" t="s">
        <v>96</v>
      </c>
      <c r="C116" s="148">
        <v>1976</v>
      </c>
      <c r="D116" s="51"/>
      <c r="E116" s="22">
        <v>3872.2</v>
      </c>
      <c r="F116" s="49">
        <v>3841.5</v>
      </c>
      <c r="G116" s="46">
        <f>SUM(H116:S116)</f>
        <v>5788563.2599999998</v>
      </c>
      <c r="H116" s="23">
        <v>113619</v>
      </c>
      <c r="I116" s="23"/>
      <c r="J116" s="23">
        <v>1584269.7</v>
      </c>
      <c r="K116" s="56">
        <v>2437986.65</v>
      </c>
      <c r="L116" s="56"/>
      <c r="M116" s="35">
        <v>0</v>
      </c>
      <c r="N116" s="35"/>
      <c r="O116" s="23">
        <v>1652687.91</v>
      </c>
      <c r="P116" s="23"/>
      <c r="Q116" s="35">
        <v>0</v>
      </c>
      <c r="R116" s="35"/>
      <c r="S116" s="35">
        <v>0</v>
      </c>
      <c r="T116" s="35">
        <v>0</v>
      </c>
      <c r="U116" s="35">
        <v>0</v>
      </c>
      <c r="V116" s="56">
        <v>5788563.2599999998</v>
      </c>
      <c r="W116" s="46">
        <v>0</v>
      </c>
      <c r="X116" s="165">
        <v>2014</v>
      </c>
      <c r="Y116" s="165">
        <v>2014</v>
      </c>
      <c r="Z116" s="176"/>
    </row>
    <row r="117" spans="1:26" s="122" customFormat="1" ht="18" customHeight="1">
      <c r="A117" s="165">
        <f t="shared" si="27"/>
        <v>83</v>
      </c>
      <c r="B117" s="24" t="s">
        <v>97</v>
      </c>
      <c r="C117" s="148">
        <v>1976</v>
      </c>
      <c r="D117" s="51"/>
      <c r="E117" s="22">
        <v>4531.6000000000004</v>
      </c>
      <c r="F117" s="49">
        <v>3752.2</v>
      </c>
      <c r="G117" s="46">
        <f>SUM(H117:S117)</f>
        <v>1405104.93</v>
      </c>
      <c r="H117" s="35">
        <v>0</v>
      </c>
      <c r="I117" s="35"/>
      <c r="J117" s="23">
        <v>1405104.93</v>
      </c>
      <c r="K117" s="35">
        <v>0</v>
      </c>
      <c r="L117" s="35"/>
      <c r="M117" s="35">
        <v>0</v>
      </c>
      <c r="N117" s="35"/>
      <c r="O117" s="35">
        <v>0</v>
      </c>
      <c r="P117" s="35"/>
      <c r="Q117" s="35">
        <v>0</v>
      </c>
      <c r="R117" s="35"/>
      <c r="S117" s="35">
        <v>0</v>
      </c>
      <c r="T117" s="35">
        <v>0</v>
      </c>
      <c r="U117" s="35">
        <v>0</v>
      </c>
      <c r="V117" s="56">
        <v>1405104.93</v>
      </c>
      <c r="W117" s="46">
        <v>0</v>
      </c>
      <c r="X117" s="165">
        <v>2014</v>
      </c>
      <c r="Y117" s="165">
        <v>2014</v>
      </c>
      <c r="Z117" s="176"/>
    </row>
    <row r="118" spans="1:26" s="122" customFormat="1" ht="18" customHeight="1">
      <c r="A118" s="165">
        <f t="shared" si="27"/>
        <v>84</v>
      </c>
      <c r="B118" s="24" t="s">
        <v>98</v>
      </c>
      <c r="C118" s="148">
        <v>1976</v>
      </c>
      <c r="D118" s="51"/>
      <c r="E118" s="22">
        <v>2665.1</v>
      </c>
      <c r="F118" s="49">
        <v>2403.3000000000002</v>
      </c>
      <c r="G118" s="46">
        <f>SUM(H118:S118)</f>
        <v>3354100</v>
      </c>
      <c r="H118" s="35">
        <v>0</v>
      </c>
      <c r="I118" s="35"/>
      <c r="J118" s="23">
        <v>3354100</v>
      </c>
      <c r="K118" s="35">
        <v>0</v>
      </c>
      <c r="L118" s="35"/>
      <c r="M118" s="35">
        <v>0</v>
      </c>
      <c r="N118" s="35"/>
      <c r="O118" s="35">
        <v>0</v>
      </c>
      <c r="P118" s="35"/>
      <c r="Q118" s="35">
        <v>0</v>
      </c>
      <c r="R118" s="35"/>
      <c r="S118" s="35">
        <v>0</v>
      </c>
      <c r="T118" s="35">
        <v>0</v>
      </c>
      <c r="U118" s="35">
        <v>0</v>
      </c>
      <c r="V118" s="23">
        <v>3018700</v>
      </c>
      <c r="W118" s="46">
        <v>335400</v>
      </c>
      <c r="X118" s="165">
        <v>2014</v>
      </c>
      <c r="Y118" s="165">
        <v>2014</v>
      </c>
      <c r="Z118" s="176"/>
    </row>
    <row r="119" spans="1:26" s="122" customFormat="1" ht="18.75" customHeight="1">
      <c r="A119" s="165">
        <f t="shared" si="27"/>
        <v>85</v>
      </c>
      <c r="B119" s="24" t="s">
        <v>521</v>
      </c>
      <c r="C119" s="148">
        <v>1973</v>
      </c>
      <c r="D119" s="51"/>
      <c r="E119" s="22">
        <v>3392.4</v>
      </c>
      <c r="F119" s="49">
        <v>2584.6999999999998</v>
      </c>
      <c r="G119" s="46">
        <f>SUM(H119:S119)</f>
        <v>1332000</v>
      </c>
      <c r="H119" s="23">
        <v>1332000</v>
      </c>
      <c r="I119" s="23"/>
      <c r="J119" s="35">
        <v>0</v>
      </c>
      <c r="K119" s="35">
        <v>0</v>
      </c>
      <c r="L119" s="35"/>
      <c r="M119" s="35">
        <v>0</v>
      </c>
      <c r="N119" s="35"/>
      <c r="O119" s="35">
        <v>0</v>
      </c>
      <c r="P119" s="35"/>
      <c r="Q119" s="35">
        <v>0</v>
      </c>
      <c r="R119" s="35"/>
      <c r="S119" s="35">
        <v>0</v>
      </c>
      <c r="T119" s="35">
        <v>0</v>
      </c>
      <c r="U119" s="35">
        <v>0</v>
      </c>
      <c r="V119" s="56">
        <v>1198800</v>
      </c>
      <c r="W119" s="46">
        <v>133200</v>
      </c>
      <c r="X119" s="165">
        <v>2014</v>
      </c>
      <c r="Y119" s="165">
        <v>2014</v>
      </c>
      <c r="Z119" s="176"/>
    </row>
    <row r="120" spans="1:26" s="122" customFormat="1" ht="18" customHeight="1">
      <c r="A120" s="165">
        <f t="shared" si="27"/>
        <v>86</v>
      </c>
      <c r="B120" s="24" t="s">
        <v>522</v>
      </c>
      <c r="C120" s="148">
        <v>1937</v>
      </c>
      <c r="D120" s="51"/>
      <c r="E120" s="22">
        <v>4011.5</v>
      </c>
      <c r="F120" s="49">
        <v>2956.5</v>
      </c>
      <c r="G120" s="46">
        <f>SUM(H120:S120)</f>
        <v>7516108.79</v>
      </c>
      <c r="H120" s="35">
        <v>0</v>
      </c>
      <c r="I120" s="35"/>
      <c r="J120" s="35">
        <v>0</v>
      </c>
      <c r="K120" s="23">
        <v>7516108.79</v>
      </c>
      <c r="L120" s="23"/>
      <c r="M120" s="35">
        <v>0</v>
      </c>
      <c r="N120" s="35"/>
      <c r="O120" s="35">
        <v>0</v>
      </c>
      <c r="P120" s="35"/>
      <c r="Q120" s="35">
        <v>0</v>
      </c>
      <c r="R120" s="35"/>
      <c r="S120" s="35">
        <v>0</v>
      </c>
      <c r="T120" s="35">
        <v>0</v>
      </c>
      <c r="U120" s="35">
        <v>0</v>
      </c>
      <c r="V120" s="56">
        <v>7516108.79</v>
      </c>
      <c r="W120" s="46">
        <v>0</v>
      </c>
      <c r="X120" s="165">
        <v>2014</v>
      </c>
      <c r="Y120" s="165">
        <v>2014</v>
      </c>
      <c r="Z120" s="176"/>
    </row>
    <row r="121" spans="1:26" s="122" customFormat="1" ht="33.75" customHeight="1">
      <c r="A121" s="165">
        <f t="shared" si="27"/>
        <v>87</v>
      </c>
      <c r="B121" s="24" t="s">
        <v>548</v>
      </c>
      <c r="C121" s="148">
        <v>1967</v>
      </c>
      <c r="D121" s="51"/>
      <c r="E121" s="22">
        <v>4491.6000000000004</v>
      </c>
      <c r="F121" s="49">
        <v>4400.6000000000004</v>
      </c>
      <c r="G121" s="46">
        <f>SUM(H121:S121)</f>
        <v>974400</v>
      </c>
      <c r="H121" s="35">
        <v>0</v>
      </c>
      <c r="I121" s="35"/>
      <c r="J121" s="35">
        <v>0</v>
      </c>
      <c r="K121" s="35">
        <v>0</v>
      </c>
      <c r="L121" s="35"/>
      <c r="M121" s="35">
        <v>0</v>
      </c>
      <c r="N121" s="35"/>
      <c r="O121" s="23">
        <v>974400</v>
      </c>
      <c r="P121" s="23"/>
      <c r="Q121" s="35">
        <v>0</v>
      </c>
      <c r="R121" s="35"/>
      <c r="S121" s="35">
        <v>0</v>
      </c>
      <c r="T121" s="35">
        <v>0</v>
      </c>
      <c r="U121" s="35">
        <v>0</v>
      </c>
      <c r="V121" s="23">
        <v>974400</v>
      </c>
      <c r="W121" s="46">
        <v>0</v>
      </c>
      <c r="X121" s="165">
        <v>2014</v>
      </c>
      <c r="Y121" s="165">
        <v>2014</v>
      </c>
      <c r="Z121" s="176"/>
    </row>
    <row r="122" spans="1:26" s="122" customFormat="1" ht="18" customHeight="1">
      <c r="A122" s="165">
        <f t="shared" si="27"/>
        <v>88</v>
      </c>
      <c r="B122" s="24" t="s">
        <v>551</v>
      </c>
      <c r="C122" s="148">
        <v>1975</v>
      </c>
      <c r="D122" s="51"/>
      <c r="E122" s="22">
        <v>4441.6000000000004</v>
      </c>
      <c r="F122" s="49">
        <v>3841.5</v>
      </c>
      <c r="G122" s="46">
        <f>SUM(H122:S122)</f>
        <v>395487</v>
      </c>
      <c r="H122" s="23">
        <v>395487</v>
      </c>
      <c r="I122" s="23"/>
      <c r="J122" s="35">
        <v>0</v>
      </c>
      <c r="K122" s="35">
        <v>0</v>
      </c>
      <c r="L122" s="35"/>
      <c r="M122" s="35">
        <v>0</v>
      </c>
      <c r="N122" s="35"/>
      <c r="O122" s="35">
        <v>0</v>
      </c>
      <c r="P122" s="35"/>
      <c r="Q122" s="35">
        <v>0</v>
      </c>
      <c r="R122" s="35"/>
      <c r="S122" s="35">
        <v>0</v>
      </c>
      <c r="T122" s="35">
        <v>0</v>
      </c>
      <c r="U122" s="35">
        <v>0</v>
      </c>
      <c r="V122" s="23">
        <v>395487</v>
      </c>
      <c r="W122" s="46">
        <v>0</v>
      </c>
      <c r="X122" s="165">
        <v>2014</v>
      </c>
      <c r="Y122" s="165">
        <v>2014</v>
      </c>
      <c r="Z122" s="176"/>
    </row>
    <row r="123" spans="1:26" s="122" customFormat="1" ht="18" customHeight="1">
      <c r="A123" s="165">
        <f t="shared" si="27"/>
        <v>89</v>
      </c>
      <c r="B123" s="24" t="s">
        <v>552</v>
      </c>
      <c r="C123" s="148">
        <v>1975</v>
      </c>
      <c r="D123" s="51"/>
      <c r="E123" s="22">
        <v>4455.6000000000004</v>
      </c>
      <c r="F123" s="49">
        <v>3816.3</v>
      </c>
      <c r="G123" s="46">
        <f>SUM(H123:S123)</f>
        <v>590911.9</v>
      </c>
      <c r="H123" s="23">
        <v>590911.9</v>
      </c>
      <c r="I123" s="23"/>
      <c r="J123" s="35">
        <v>0</v>
      </c>
      <c r="K123" s="35">
        <v>0</v>
      </c>
      <c r="L123" s="35"/>
      <c r="M123" s="35">
        <v>0</v>
      </c>
      <c r="N123" s="35"/>
      <c r="O123" s="35">
        <v>0</v>
      </c>
      <c r="P123" s="35"/>
      <c r="Q123" s="35">
        <v>0</v>
      </c>
      <c r="R123" s="35"/>
      <c r="S123" s="35">
        <v>0</v>
      </c>
      <c r="T123" s="35">
        <v>0</v>
      </c>
      <c r="U123" s="35">
        <v>0</v>
      </c>
      <c r="V123" s="23">
        <v>590911.9</v>
      </c>
      <c r="W123" s="46">
        <v>0</v>
      </c>
      <c r="X123" s="165">
        <v>2014</v>
      </c>
      <c r="Y123" s="165">
        <v>2014</v>
      </c>
      <c r="Z123" s="176"/>
    </row>
    <row r="124" spans="1:26" s="122" customFormat="1" ht="18" customHeight="1">
      <c r="A124" s="165">
        <f t="shared" si="27"/>
        <v>90</v>
      </c>
      <c r="B124" s="24" t="s">
        <v>36</v>
      </c>
      <c r="C124" s="148">
        <v>1979</v>
      </c>
      <c r="D124" s="51"/>
      <c r="E124" s="22">
        <v>18162.400000000001</v>
      </c>
      <c r="F124" s="49">
        <v>15744.7</v>
      </c>
      <c r="G124" s="46">
        <f>SUM(H124:S124)</f>
        <v>1000260</v>
      </c>
      <c r="H124" s="23">
        <v>1000260</v>
      </c>
      <c r="I124" s="23"/>
      <c r="J124" s="35">
        <v>0</v>
      </c>
      <c r="K124" s="35">
        <v>0</v>
      </c>
      <c r="L124" s="35"/>
      <c r="M124" s="35">
        <v>0</v>
      </c>
      <c r="N124" s="35"/>
      <c r="O124" s="35">
        <v>0</v>
      </c>
      <c r="P124" s="35"/>
      <c r="Q124" s="35">
        <v>0</v>
      </c>
      <c r="R124" s="35"/>
      <c r="S124" s="35">
        <v>0</v>
      </c>
      <c r="T124" s="35">
        <v>0</v>
      </c>
      <c r="U124" s="35">
        <v>0</v>
      </c>
      <c r="V124" s="23">
        <v>1000260</v>
      </c>
      <c r="W124" s="46">
        <v>0</v>
      </c>
      <c r="X124" s="165">
        <v>2014</v>
      </c>
      <c r="Y124" s="165">
        <v>2014</v>
      </c>
      <c r="Z124" s="176"/>
    </row>
    <row r="125" spans="1:26" s="122" customFormat="1" ht="18" customHeight="1">
      <c r="A125" s="165">
        <f t="shared" si="27"/>
        <v>91</v>
      </c>
      <c r="B125" s="24" t="s">
        <v>37</v>
      </c>
      <c r="C125" s="148">
        <v>1956</v>
      </c>
      <c r="D125" s="51"/>
      <c r="E125" s="22">
        <v>4363.2</v>
      </c>
      <c r="F125" s="49">
        <v>3569.7</v>
      </c>
      <c r="G125" s="46">
        <f>SUM(H125:S125)</f>
        <v>3395980.75</v>
      </c>
      <c r="H125" s="35">
        <v>0</v>
      </c>
      <c r="I125" s="35"/>
      <c r="J125" s="35">
        <v>0</v>
      </c>
      <c r="K125" s="23">
        <v>3395980.75</v>
      </c>
      <c r="L125" s="23"/>
      <c r="M125" s="35">
        <v>0</v>
      </c>
      <c r="N125" s="35"/>
      <c r="O125" s="35">
        <v>0</v>
      </c>
      <c r="P125" s="35"/>
      <c r="Q125" s="35">
        <v>0</v>
      </c>
      <c r="R125" s="35"/>
      <c r="S125" s="35">
        <v>0</v>
      </c>
      <c r="T125" s="35">
        <v>0</v>
      </c>
      <c r="U125" s="35">
        <v>0</v>
      </c>
      <c r="V125" s="23">
        <v>3395980.75</v>
      </c>
      <c r="W125" s="46">
        <v>0</v>
      </c>
      <c r="X125" s="165">
        <v>2014</v>
      </c>
      <c r="Y125" s="165">
        <v>2014</v>
      </c>
      <c r="Z125" s="176"/>
    </row>
    <row r="126" spans="1:26" s="122" customFormat="1" ht="18" customHeight="1">
      <c r="A126" s="165">
        <f t="shared" si="27"/>
        <v>92</v>
      </c>
      <c r="B126" s="24" t="s">
        <v>38</v>
      </c>
      <c r="C126" s="148">
        <v>1975</v>
      </c>
      <c r="D126" s="51"/>
      <c r="E126" s="22">
        <v>1170.2</v>
      </c>
      <c r="F126" s="49">
        <v>1149.9000000000001</v>
      </c>
      <c r="G126" s="46">
        <f>SUM(H126:S126)</f>
        <v>333198</v>
      </c>
      <c r="H126" s="23">
        <v>333198</v>
      </c>
      <c r="I126" s="23"/>
      <c r="J126" s="35">
        <v>0</v>
      </c>
      <c r="K126" s="35">
        <v>0</v>
      </c>
      <c r="L126" s="35"/>
      <c r="M126" s="35">
        <v>0</v>
      </c>
      <c r="N126" s="35"/>
      <c r="O126" s="35">
        <v>0</v>
      </c>
      <c r="P126" s="35"/>
      <c r="Q126" s="35">
        <v>0</v>
      </c>
      <c r="R126" s="35"/>
      <c r="S126" s="35">
        <v>0</v>
      </c>
      <c r="T126" s="35">
        <v>0</v>
      </c>
      <c r="U126" s="35">
        <v>0</v>
      </c>
      <c r="V126" s="23">
        <v>333198</v>
      </c>
      <c r="W126" s="46">
        <v>0</v>
      </c>
      <c r="X126" s="165">
        <v>2014</v>
      </c>
      <c r="Y126" s="165">
        <v>2014</v>
      </c>
      <c r="Z126" s="176"/>
    </row>
    <row r="127" spans="1:26" s="122" customFormat="1" ht="18" customHeight="1">
      <c r="A127" s="165">
        <f t="shared" si="27"/>
        <v>93</v>
      </c>
      <c r="B127" s="24" t="s">
        <v>39</v>
      </c>
      <c r="C127" s="148">
        <v>1982</v>
      </c>
      <c r="D127" s="51"/>
      <c r="E127" s="22">
        <v>3882.6</v>
      </c>
      <c r="F127" s="49">
        <v>3835.7</v>
      </c>
      <c r="G127" s="46">
        <f>SUM(H127:S127)</f>
        <v>1203000</v>
      </c>
      <c r="H127" s="23">
        <v>1203000</v>
      </c>
      <c r="I127" s="23"/>
      <c r="J127" s="35">
        <v>0</v>
      </c>
      <c r="K127" s="35">
        <v>0</v>
      </c>
      <c r="L127" s="35"/>
      <c r="M127" s="35">
        <v>0</v>
      </c>
      <c r="N127" s="35"/>
      <c r="O127" s="35">
        <v>0</v>
      </c>
      <c r="P127" s="35"/>
      <c r="Q127" s="35">
        <v>0</v>
      </c>
      <c r="R127" s="35"/>
      <c r="S127" s="35">
        <v>0</v>
      </c>
      <c r="T127" s="35">
        <v>0</v>
      </c>
      <c r="U127" s="35">
        <v>0</v>
      </c>
      <c r="V127" s="23">
        <v>1082700</v>
      </c>
      <c r="W127" s="46">
        <v>120300</v>
      </c>
      <c r="X127" s="165">
        <v>2014</v>
      </c>
      <c r="Y127" s="165">
        <v>2014</v>
      </c>
      <c r="Z127" s="176"/>
    </row>
    <row r="128" spans="1:26" s="122" customFormat="1" ht="18" customHeight="1">
      <c r="A128" s="165">
        <f t="shared" si="27"/>
        <v>94</v>
      </c>
      <c r="B128" s="24" t="s">
        <v>40</v>
      </c>
      <c r="C128" s="148">
        <v>1982</v>
      </c>
      <c r="D128" s="51"/>
      <c r="E128" s="22">
        <v>1899.8</v>
      </c>
      <c r="F128" s="49">
        <v>1858.7</v>
      </c>
      <c r="G128" s="46">
        <f>SUM(H128:S128)</f>
        <v>1120849.5900000001</v>
      </c>
      <c r="H128" s="35">
        <v>0</v>
      </c>
      <c r="I128" s="35"/>
      <c r="J128" s="35">
        <v>0</v>
      </c>
      <c r="K128" s="23">
        <v>1120849.5900000001</v>
      </c>
      <c r="L128" s="23"/>
      <c r="M128" s="35">
        <v>0</v>
      </c>
      <c r="N128" s="35"/>
      <c r="O128" s="35">
        <v>0</v>
      </c>
      <c r="P128" s="35"/>
      <c r="Q128" s="35">
        <v>0</v>
      </c>
      <c r="R128" s="35"/>
      <c r="S128" s="35">
        <v>0</v>
      </c>
      <c r="T128" s="35">
        <v>0</v>
      </c>
      <c r="U128" s="35">
        <v>0</v>
      </c>
      <c r="V128" s="23">
        <v>1120849.5900000001</v>
      </c>
      <c r="W128" s="46">
        <v>0</v>
      </c>
      <c r="X128" s="165">
        <v>2014</v>
      </c>
      <c r="Y128" s="165">
        <v>2014</v>
      </c>
      <c r="Z128" s="176"/>
    </row>
    <row r="129" spans="1:26" s="122" customFormat="1" ht="18" customHeight="1">
      <c r="A129" s="165">
        <f t="shared" si="27"/>
        <v>95</v>
      </c>
      <c r="B129" s="24" t="s">
        <v>41</v>
      </c>
      <c r="C129" s="148">
        <v>1982</v>
      </c>
      <c r="D129" s="51"/>
      <c r="E129" s="22">
        <v>5294.6</v>
      </c>
      <c r="F129" s="49">
        <v>5238.8999999999996</v>
      </c>
      <c r="G129" s="46">
        <f>SUM(H129:S129)</f>
        <v>891209.47</v>
      </c>
      <c r="H129" s="35">
        <v>0</v>
      </c>
      <c r="I129" s="35"/>
      <c r="J129" s="35">
        <v>0</v>
      </c>
      <c r="K129" s="23">
        <v>891209.47</v>
      </c>
      <c r="L129" s="23"/>
      <c r="M129" s="35">
        <v>0</v>
      </c>
      <c r="N129" s="35"/>
      <c r="O129" s="35">
        <v>0</v>
      </c>
      <c r="P129" s="35"/>
      <c r="Q129" s="35">
        <v>0</v>
      </c>
      <c r="R129" s="35"/>
      <c r="S129" s="35">
        <v>0</v>
      </c>
      <c r="T129" s="35">
        <v>0</v>
      </c>
      <c r="U129" s="35">
        <v>0</v>
      </c>
      <c r="V129" s="23">
        <v>891209.47</v>
      </c>
      <c r="W129" s="46">
        <v>0</v>
      </c>
      <c r="X129" s="165">
        <v>2014</v>
      </c>
      <c r="Y129" s="165">
        <v>2014</v>
      </c>
      <c r="Z129" s="176"/>
    </row>
    <row r="130" spans="1:26" s="122" customFormat="1" ht="18" customHeight="1">
      <c r="A130" s="165">
        <f t="shared" si="27"/>
        <v>96</v>
      </c>
      <c r="B130" s="24" t="s">
        <v>42</v>
      </c>
      <c r="C130" s="148">
        <v>1958</v>
      </c>
      <c r="D130" s="51"/>
      <c r="E130" s="22">
        <v>837.7</v>
      </c>
      <c r="F130" s="49">
        <v>678.9</v>
      </c>
      <c r="G130" s="46">
        <f>SUM(H130:S130)</f>
        <v>1500000</v>
      </c>
      <c r="H130" s="35">
        <v>0</v>
      </c>
      <c r="I130" s="35"/>
      <c r="J130" s="35">
        <v>0</v>
      </c>
      <c r="K130" s="23">
        <v>1500000</v>
      </c>
      <c r="L130" s="23"/>
      <c r="M130" s="35">
        <v>0</v>
      </c>
      <c r="N130" s="35"/>
      <c r="O130" s="35">
        <v>0</v>
      </c>
      <c r="P130" s="35"/>
      <c r="Q130" s="35">
        <v>0</v>
      </c>
      <c r="R130" s="35"/>
      <c r="S130" s="35">
        <v>0</v>
      </c>
      <c r="T130" s="35">
        <v>0</v>
      </c>
      <c r="U130" s="35">
        <v>0</v>
      </c>
      <c r="V130" s="23">
        <v>1335000</v>
      </c>
      <c r="W130" s="46">
        <v>165000</v>
      </c>
      <c r="X130" s="165">
        <v>2014</v>
      </c>
      <c r="Y130" s="165">
        <v>2014</v>
      </c>
      <c r="Z130" s="176"/>
    </row>
    <row r="131" spans="1:26" s="122" customFormat="1" ht="18" customHeight="1">
      <c r="A131" s="165">
        <f t="shared" si="27"/>
        <v>97</v>
      </c>
      <c r="B131" s="24" t="s">
        <v>43</v>
      </c>
      <c r="C131" s="148">
        <v>1980</v>
      </c>
      <c r="D131" s="51"/>
      <c r="E131" s="22">
        <v>2681.6</v>
      </c>
      <c r="F131" s="49">
        <v>2585.8000000000002</v>
      </c>
      <c r="G131" s="46">
        <f>SUM(H131:S131)</f>
        <v>986700</v>
      </c>
      <c r="H131" s="23">
        <v>986700</v>
      </c>
      <c r="I131" s="23"/>
      <c r="J131" s="35">
        <v>0</v>
      </c>
      <c r="K131" s="35">
        <v>0</v>
      </c>
      <c r="L131" s="35"/>
      <c r="M131" s="35">
        <v>0</v>
      </c>
      <c r="N131" s="35"/>
      <c r="O131" s="35">
        <v>0</v>
      </c>
      <c r="P131" s="35"/>
      <c r="Q131" s="35">
        <v>0</v>
      </c>
      <c r="R131" s="35"/>
      <c r="S131" s="35">
        <v>0</v>
      </c>
      <c r="T131" s="35">
        <v>0</v>
      </c>
      <c r="U131" s="35">
        <v>0</v>
      </c>
      <c r="V131" s="23">
        <v>888000</v>
      </c>
      <c r="W131" s="46">
        <v>98700</v>
      </c>
      <c r="X131" s="165">
        <v>2014</v>
      </c>
      <c r="Y131" s="165">
        <v>2014</v>
      </c>
      <c r="Z131" s="176"/>
    </row>
    <row r="132" spans="1:26" s="122" customFormat="1" ht="18" customHeight="1">
      <c r="A132" s="165">
        <f t="shared" si="27"/>
        <v>98</v>
      </c>
      <c r="B132" s="24" t="s">
        <v>556</v>
      </c>
      <c r="C132" s="148">
        <v>1973</v>
      </c>
      <c r="D132" s="51"/>
      <c r="E132" s="22">
        <v>5787.7</v>
      </c>
      <c r="F132" s="49">
        <v>5764.6</v>
      </c>
      <c r="G132" s="46">
        <f>SUM(H132:S132)</f>
        <v>5904039.5</v>
      </c>
      <c r="H132" s="35">
        <v>0</v>
      </c>
      <c r="I132" s="35"/>
      <c r="J132" s="35">
        <v>0</v>
      </c>
      <c r="K132" s="23">
        <v>5904039.5</v>
      </c>
      <c r="L132" s="23"/>
      <c r="M132" s="35">
        <v>0</v>
      </c>
      <c r="N132" s="35"/>
      <c r="O132" s="35">
        <v>0</v>
      </c>
      <c r="P132" s="35"/>
      <c r="Q132" s="35">
        <v>0</v>
      </c>
      <c r="R132" s="35"/>
      <c r="S132" s="35">
        <v>0</v>
      </c>
      <c r="T132" s="35">
        <v>0</v>
      </c>
      <c r="U132" s="35">
        <v>0</v>
      </c>
      <c r="V132" s="23">
        <v>5904039.5</v>
      </c>
      <c r="W132" s="46">
        <v>0</v>
      </c>
      <c r="X132" s="165">
        <v>2014</v>
      </c>
      <c r="Y132" s="165">
        <v>2014</v>
      </c>
      <c r="Z132" s="176"/>
    </row>
    <row r="133" spans="1:26" s="122" customFormat="1" ht="18" customHeight="1">
      <c r="A133" s="165">
        <f t="shared" si="27"/>
        <v>99</v>
      </c>
      <c r="B133" s="24" t="s">
        <v>550</v>
      </c>
      <c r="C133" s="148">
        <v>1967</v>
      </c>
      <c r="D133" s="51"/>
      <c r="E133" s="22">
        <v>2753.5</v>
      </c>
      <c r="F133" s="49">
        <v>2723</v>
      </c>
      <c r="G133" s="46">
        <f>SUM(H133:S133)</f>
        <v>5834521.5499999998</v>
      </c>
      <c r="H133" s="35">
        <v>0</v>
      </c>
      <c r="I133" s="35"/>
      <c r="J133" s="35">
        <v>0</v>
      </c>
      <c r="K133" s="23">
        <v>5834521.5499999998</v>
      </c>
      <c r="L133" s="23"/>
      <c r="M133" s="35">
        <v>0</v>
      </c>
      <c r="N133" s="35"/>
      <c r="O133" s="35">
        <v>0</v>
      </c>
      <c r="P133" s="35"/>
      <c r="Q133" s="35">
        <v>0</v>
      </c>
      <c r="R133" s="35"/>
      <c r="S133" s="35">
        <v>0</v>
      </c>
      <c r="T133" s="35">
        <v>0</v>
      </c>
      <c r="U133" s="35">
        <v>0</v>
      </c>
      <c r="V133" s="23">
        <v>5834521.5499999998</v>
      </c>
      <c r="W133" s="46">
        <v>0</v>
      </c>
      <c r="X133" s="165">
        <v>2014</v>
      </c>
      <c r="Y133" s="165">
        <v>2014</v>
      </c>
      <c r="Z133" s="176"/>
    </row>
    <row r="134" spans="1:26" s="122" customFormat="1" ht="18" customHeight="1">
      <c r="A134" s="165">
        <f t="shared" si="27"/>
        <v>100</v>
      </c>
      <c r="B134" s="24" t="s">
        <v>554</v>
      </c>
      <c r="C134" s="148">
        <v>1984</v>
      </c>
      <c r="D134" s="51"/>
      <c r="E134" s="22">
        <v>3843.9</v>
      </c>
      <c r="F134" s="49">
        <v>3797.6</v>
      </c>
      <c r="G134" s="46">
        <f>SUM(H134:S134)</f>
        <v>3129213.05</v>
      </c>
      <c r="H134" s="35">
        <v>0</v>
      </c>
      <c r="I134" s="35"/>
      <c r="J134" s="35">
        <v>0</v>
      </c>
      <c r="K134" s="23">
        <v>3129213.05</v>
      </c>
      <c r="L134" s="23"/>
      <c r="M134" s="35">
        <v>0</v>
      </c>
      <c r="N134" s="35"/>
      <c r="O134" s="35">
        <v>0</v>
      </c>
      <c r="P134" s="35"/>
      <c r="Q134" s="35">
        <v>0</v>
      </c>
      <c r="R134" s="35"/>
      <c r="S134" s="35">
        <v>0</v>
      </c>
      <c r="T134" s="35">
        <v>0</v>
      </c>
      <c r="U134" s="35">
        <v>0</v>
      </c>
      <c r="V134" s="23">
        <v>3129213.05</v>
      </c>
      <c r="W134" s="46">
        <v>0</v>
      </c>
      <c r="X134" s="165">
        <v>2014</v>
      </c>
      <c r="Y134" s="165">
        <v>2014</v>
      </c>
      <c r="Z134" s="176"/>
    </row>
    <row r="135" spans="1:26" s="122" customFormat="1" ht="18" customHeight="1">
      <c r="A135" s="165">
        <f t="shared" si="27"/>
        <v>101</v>
      </c>
      <c r="B135" s="24" t="s">
        <v>555</v>
      </c>
      <c r="C135" s="148">
        <v>1985</v>
      </c>
      <c r="D135" s="51"/>
      <c r="E135" s="49">
        <v>7550.1</v>
      </c>
      <c r="F135" s="49">
        <v>7504.2</v>
      </c>
      <c r="G135" s="46">
        <f>SUM(H135:S135)</f>
        <v>1631000</v>
      </c>
      <c r="H135" s="23">
        <v>1631000</v>
      </c>
      <c r="I135" s="23"/>
      <c r="J135" s="35">
        <v>0</v>
      </c>
      <c r="K135" s="35">
        <v>0</v>
      </c>
      <c r="L135" s="35"/>
      <c r="M135" s="35">
        <v>0</v>
      </c>
      <c r="N135" s="35"/>
      <c r="O135" s="35">
        <v>0</v>
      </c>
      <c r="P135" s="35"/>
      <c r="Q135" s="35">
        <v>0</v>
      </c>
      <c r="R135" s="35"/>
      <c r="S135" s="35">
        <v>0</v>
      </c>
      <c r="T135" s="35">
        <v>0</v>
      </c>
      <c r="U135" s="35">
        <v>0</v>
      </c>
      <c r="V135" s="23">
        <v>1451600</v>
      </c>
      <c r="W135" s="46">
        <v>179400</v>
      </c>
      <c r="X135" s="165">
        <v>2014</v>
      </c>
      <c r="Y135" s="165">
        <v>2014</v>
      </c>
      <c r="Z135" s="176"/>
    </row>
    <row r="136" spans="1:26" s="122" customFormat="1" ht="18" customHeight="1">
      <c r="A136" s="165">
        <f t="shared" si="27"/>
        <v>102</v>
      </c>
      <c r="B136" s="24" t="s">
        <v>44</v>
      </c>
      <c r="C136" s="148">
        <v>1949</v>
      </c>
      <c r="D136" s="51"/>
      <c r="E136" s="22">
        <v>698.2</v>
      </c>
      <c r="F136" s="49">
        <v>604</v>
      </c>
      <c r="G136" s="46">
        <f>SUM(H136:S136)</f>
        <v>2660626.5</v>
      </c>
      <c r="H136" s="35">
        <v>0</v>
      </c>
      <c r="I136" s="35"/>
      <c r="J136" s="35">
        <v>0</v>
      </c>
      <c r="K136" s="23">
        <v>2660626.5</v>
      </c>
      <c r="L136" s="23"/>
      <c r="M136" s="35">
        <v>0</v>
      </c>
      <c r="N136" s="35"/>
      <c r="O136" s="35">
        <v>0</v>
      </c>
      <c r="P136" s="35"/>
      <c r="Q136" s="35">
        <v>0</v>
      </c>
      <c r="R136" s="35"/>
      <c r="S136" s="35">
        <v>0</v>
      </c>
      <c r="T136" s="35">
        <v>0</v>
      </c>
      <c r="U136" s="35">
        <v>0</v>
      </c>
      <c r="V136" s="23">
        <v>2660626.5</v>
      </c>
      <c r="W136" s="46">
        <v>0</v>
      </c>
      <c r="X136" s="165">
        <v>2014</v>
      </c>
      <c r="Y136" s="165">
        <v>2014</v>
      </c>
      <c r="Z136" s="176"/>
    </row>
    <row r="137" spans="1:26" s="122" customFormat="1" ht="18" customHeight="1">
      <c r="A137" s="165">
        <f t="shared" si="27"/>
        <v>103</v>
      </c>
      <c r="B137" s="24" t="s">
        <v>45</v>
      </c>
      <c r="C137" s="148">
        <v>1957</v>
      </c>
      <c r="D137" s="51"/>
      <c r="E137" s="22">
        <v>3330.1</v>
      </c>
      <c r="F137" s="49">
        <v>2556.6</v>
      </c>
      <c r="G137" s="46">
        <f>SUM(H137:S137)</f>
        <v>5041259.28</v>
      </c>
      <c r="H137" s="35">
        <v>0</v>
      </c>
      <c r="I137" s="35"/>
      <c r="J137" s="35">
        <v>0</v>
      </c>
      <c r="K137" s="23">
        <v>5041259.28</v>
      </c>
      <c r="L137" s="23"/>
      <c r="M137" s="35">
        <v>0</v>
      </c>
      <c r="N137" s="35"/>
      <c r="O137" s="35">
        <v>0</v>
      </c>
      <c r="P137" s="35"/>
      <c r="Q137" s="35">
        <v>0</v>
      </c>
      <c r="R137" s="35"/>
      <c r="S137" s="35">
        <v>0</v>
      </c>
      <c r="T137" s="35">
        <v>0</v>
      </c>
      <c r="U137" s="35">
        <v>0</v>
      </c>
      <c r="V137" s="23">
        <v>5041259.28</v>
      </c>
      <c r="W137" s="46">
        <v>0</v>
      </c>
      <c r="X137" s="165">
        <v>2014</v>
      </c>
      <c r="Y137" s="165">
        <v>2014</v>
      </c>
      <c r="Z137" s="176"/>
    </row>
    <row r="138" spans="1:26" s="122" customFormat="1" ht="18" customHeight="1">
      <c r="A138" s="165">
        <f t="shared" si="27"/>
        <v>104</v>
      </c>
      <c r="B138" s="24" t="s">
        <v>46</v>
      </c>
      <c r="C138" s="148">
        <v>1988</v>
      </c>
      <c r="D138" s="51"/>
      <c r="E138" s="22">
        <v>2956.8</v>
      </c>
      <c r="F138" s="49">
        <v>2667.7</v>
      </c>
      <c r="G138" s="46">
        <f>SUM(H138:S138)</f>
        <v>1500000</v>
      </c>
      <c r="H138" s="23">
        <v>1500000</v>
      </c>
      <c r="I138" s="23"/>
      <c r="J138" s="35">
        <v>0</v>
      </c>
      <c r="K138" s="35">
        <v>0</v>
      </c>
      <c r="L138" s="35"/>
      <c r="M138" s="35">
        <v>0</v>
      </c>
      <c r="N138" s="35"/>
      <c r="O138" s="35">
        <v>0</v>
      </c>
      <c r="P138" s="35"/>
      <c r="Q138" s="35">
        <v>0</v>
      </c>
      <c r="R138" s="35"/>
      <c r="S138" s="35">
        <v>0</v>
      </c>
      <c r="T138" s="35">
        <v>0</v>
      </c>
      <c r="U138" s="35">
        <v>0</v>
      </c>
      <c r="V138" s="23">
        <v>1335000</v>
      </c>
      <c r="W138" s="46">
        <v>165000</v>
      </c>
      <c r="X138" s="165">
        <v>2014</v>
      </c>
      <c r="Y138" s="165">
        <v>2014</v>
      </c>
      <c r="Z138" s="176"/>
    </row>
    <row r="139" spans="1:26" s="122" customFormat="1" ht="18" customHeight="1">
      <c r="A139" s="165">
        <f t="shared" si="27"/>
        <v>105</v>
      </c>
      <c r="B139" s="24" t="s">
        <v>47</v>
      </c>
      <c r="C139" s="148">
        <v>1970</v>
      </c>
      <c r="D139" s="51"/>
      <c r="E139" s="22">
        <v>4475.8</v>
      </c>
      <c r="F139" s="49">
        <v>3821.1</v>
      </c>
      <c r="G139" s="46">
        <f>SUM(H139:S139)</f>
        <v>3456878.97</v>
      </c>
      <c r="H139" s="35">
        <v>0</v>
      </c>
      <c r="I139" s="35"/>
      <c r="J139" s="35">
        <v>0</v>
      </c>
      <c r="K139" s="23">
        <v>3456878.97</v>
      </c>
      <c r="L139" s="23"/>
      <c r="M139" s="35">
        <v>0</v>
      </c>
      <c r="N139" s="35"/>
      <c r="O139" s="35">
        <v>0</v>
      </c>
      <c r="P139" s="35"/>
      <c r="Q139" s="35">
        <v>0</v>
      </c>
      <c r="R139" s="35"/>
      <c r="S139" s="35">
        <v>0</v>
      </c>
      <c r="T139" s="35">
        <v>0</v>
      </c>
      <c r="U139" s="35">
        <v>0</v>
      </c>
      <c r="V139" s="23">
        <v>3456878.97</v>
      </c>
      <c r="W139" s="46">
        <v>0</v>
      </c>
      <c r="X139" s="165">
        <v>2014</v>
      </c>
      <c r="Y139" s="165">
        <v>2014</v>
      </c>
      <c r="Z139" s="176"/>
    </row>
    <row r="140" spans="1:26" s="122" customFormat="1" ht="18" customHeight="1">
      <c r="A140" s="165">
        <f t="shared" si="27"/>
        <v>106</v>
      </c>
      <c r="B140" s="24" t="s">
        <v>48</v>
      </c>
      <c r="C140" s="148">
        <v>1968</v>
      </c>
      <c r="D140" s="51"/>
      <c r="E140" s="22">
        <v>3011.8</v>
      </c>
      <c r="F140" s="49">
        <v>2715.9</v>
      </c>
      <c r="G140" s="46">
        <f>SUM(H140:S140)</f>
        <v>4060857.98</v>
      </c>
      <c r="H140" s="35">
        <v>0</v>
      </c>
      <c r="I140" s="35"/>
      <c r="J140" s="35">
        <v>0</v>
      </c>
      <c r="K140" s="23">
        <v>4060857.98</v>
      </c>
      <c r="L140" s="23"/>
      <c r="M140" s="35">
        <v>0</v>
      </c>
      <c r="N140" s="35"/>
      <c r="O140" s="35">
        <v>0</v>
      </c>
      <c r="P140" s="35"/>
      <c r="Q140" s="35">
        <v>0</v>
      </c>
      <c r="R140" s="35"/>
      <c r="S140" s="35">
        <v>0</v>
      </c>
      <c r="T140" s="35">
        <v>0</v>
      </c>
      <c r="U140" s="35">
        <v>0</v>
      </c>
      <c r="V140" s="23">
        <v>4060857.98</v>
      </c>
      <c r="W140" s="46">
        <v>0</v>
      </c>
      <c r="X140" s="165">
        <v>2014</v>
      </c>
      <c r="Y140" s="165">
        <v>2014</v>
      </c>
      <c r="Z140" s="176"/>
    </row>
    <row r="141" spans="1:26" s="122" customFormat="1" ht="18" customHeight="1">
      <c r="A141" s="165">
        <f t="shared" si="27"/>
        <v>107</v>
      </c>
      <c r="B141" s="24" t="s">
        <v>49</v>
      </c>
      <c r="C141" s="148">
        <v>1967</v>
      </c>
      <c r="D141" s="51"/>
      <c r="E141" s="22">
        <v>4932.7</v>
      </c>
      <c r="F141" s="49">
        <v>4508.1000000000004</v>
      </c>
      <c r="G141" s="46">
        <f>SUM(H141:S141)</f>
        <v>4907686</v>
      </c>
      <c r="H141" s="35">
        <v>0</v>
      </c>
      <c r="I141" s="35"/>
      <c r="J141" s="35">
        <v>0</v>
      </c>
      <c r="K141" s="23">
        <v>4907686</v>
      </c>
      <c r="L141" s="23"/>
      <c r="M141" s="35">
        <v>0</v>
      </c>
      <c r="N141" s="35"/>
      <c r="O141" s="35">
        <v>0</v>
      </c>
      <c r="P141" s="35"/>
      <c r="Q141" s="35">
        <v>0</v>
      </c>
      <c r="R141" s="35"/>
      <c r="S141" s="35">
        <v>0</v>
      </c>
      <c r="T141" s="35">
        <v>0</v>
      </c>
      <c r="U141" s="35">
        <v>0</v>
      </c>
      <c r="V141" s="23">
        <v>4907686</v>
      </c>
      <c r="W141" s="46">
        <v>0</v>
      </c>
      <c r="X141" s="165">
        <v>2014</v>
      </c>
      <c r="Y141" s="165">
        <v>2014</v>
      </c>
      <c r="Z141" s="176"/>
    </row>
    <row r="142" spans="1:26" s="122" customFormat="1" ht="18" customHeight="1">
      <c r="A142" s="165">
        <f t="shared" si="27"/>
        <v>108</v>
      </c>
      <c r="B142" s="24" t="s">
        <v>50</v>
      </c>
      <c r="C142" s="148">
        <v>1957</v>
      </c>
      <c r="D142" s="51"/>
      <c r="E142" s="22">
        <v>3544.6</v>
      </c>
      <c r="F142" s="49">
        <v>2623.7</v>
      </c>
      <c r="G142" s="46">
        <f>SUM(H142:S142)</f>
        <v>2568711.2000000002</v>
      </c>
      <c r="H142" s="23">
        <v>2568711.2000000002</v>
      </c>
      <c r="I142" s="23"/>
      <c r="J142" s="35">
        <v>0</v>
      </c>
      <c r="K142" s="35">
        <v>0</v>
      </c>
      <c r="L142" s="35"/>
      <c r="M142" s="35">
        <v>0</v>
      </c>
      <c r="N142" s="35"/>
      <c r="O142" s="35">
        <v>0</v>
      </c>
      <c r="P142" s="35"/>
      <c r="Q142" s="35">
        <v>0</v>
      </c>
      <c r="R142" s="35"/>
      <c r="S142" s="35">
        <v>0</v>
      </c>
      <c r="T142" s="35">
        <v>0</v>
      </c>
      <c r="U142" s="35">
        <v>0</v>
      </c>
      <c r="V142" s="23">
        <v>2568711.2000000002</v>
      </c>
      <c r="W142" s="46">
        <v>0</v>
      </c>
      <c r="X142" s="165">
        <v>2014</v>
      </c>
      <c r="Y142" s="165">
        <v>2014</v>
      </c>
      <c r="Z142" s="176"/>
    </row>
    <row r="143" spans="1:26" s="122" customFormat="1" ht="18" customHeight="1">
      <c r="A143" s="165">
        <f t="shared" si="27"/>
        <v>109</v>
      </c>
      <c r="B143" s="24" t="s">
        <v>52</v>
      </c>
      <c r="C143" s="148">
        <v>1958</v>
      </c>
      <c r="D143" s="51"/>
      <c r="E143" s="22">
        <v>1747.8</v>
      </c>
      <c r="F143" s="49">
        <v>1272.5999999999999</v>
      </c>
      <c r="G143" s="46">
        <f>SUM(H143:S143)</f>
        <v>3787035.7</v>
      </c>
      <c r="H143" s="35">
        <v>0</v>
      </c>
      <c r="I143" s="35"/>
      <c r="J143" s="35">
        <v>0</v>
      </c>
      <c r="K143" s="23">
        <v>3787035.7</v>
      </c>
      <c r="L143" s="23"/>
      <c r="M143" s="35">
        <v>0</v>
      </c>
      <c r="N143" s="35"/>
      <c r="O143" s="35">
        <v>0</v>
      </c>
      <c r="P143" s="35"/>
      <c r="Q143" s="35">
        <v>0</v>
      </c>
      <c r="R143" s="35"/>
      <c r="S143" s="35">
        <v>0</v>
      </c>
      <c r="T143" s="35">
        <v>0</v>
      </c>
      <c r="U143" s="35">
        <v>0</v>
      </c>
      <c r="V143" s="23">
        <v>3787035.7</v>
      </c>
      <c r="W143" s="46">
        <v>0</v>
      </c>
      <c r="X143" s="165">
        <v>2014</v>
      </c>
      <c r="Y143" s="165">
        <v>2014</v>
      </c>
      <c r="Z143" s="176"/>
    </row>
    <row r="144" spans="1:26" s="122" customFormat="1" ht="18" customHeight="1">
      <c r="A144" s="165">
        <f t="shared" si="27"/>
        <v>110</v>
      </c>
      <c r="B144" s="24" t="s">
        <v>51</v>
      </c>
      <c r="C144" s="148">
        <v>1957</v>
      </c>
      <c r="D144" s="51"/>
      <c r="E144" s="22">
        <v>1042.0999999999999</v>
      </c>
      <c r="F144" s="49">
        <v>775.6</v>
      </c>
      <c r="G144" s="46">
        <f>SUM(H144:S144)</f>
        <v>5465440.0999999996</v>
      </c>
      <c r="H144" s="35">
        <v>0</v>
      </c>
      <c r="I144" s="35"/>
      <c r="J144" s="35">
        <v>0</v>
      </c>
      <c r="K144" s="50">
        <v>5465440.0999999996</v>
      </c>
      <c r="L144" s="50"/>
      <c r="M144" s="35">
        <v>0</v>
      </c>
      <c r="N144" s="35"/>
      <c r="O144" s="35">
        <v>0</v>
      </c>
      <c r="P144" s="35"/>
      <c r="Q144" s="35">
        <v>0</v>
      </c>
      <c r="R144" s="35"/>
      <c r="S144" s="35">
        <v>0</v>
      </c>
      <c r="T144" s="35">
        <v>0</v>
      </c>
      <c r="U144" s="35">
        <v>0</v>
      </c>
      <c r="V144" s="23">
        <v>5465440.0999999996</v>
      </c>
      <c r="W144" s="46">
        <v>0</v>
      </c>
      <c r="X144" s="165">
        <v>2014</v>
      </c>
      <c r="Y144" s="165">
        <v>2014</v>
      </c>
      <c r="Z144" s="176"/>
    </row>
    <row r="145" spans="1:26" s="122" customFormat="1" ht="18" customHeight="1">
      <c r="A145" s="165">
        <f t="shared" si="27"/>
        <v>111</v>
      </c>
      <c r="B145" s="24" t="s">
        <v>99</v>
      </c>
      <c r="C145" s="148">
        <v>1958</v>
      </c>
      <c r="D145" s="51"/>
      <c r="E145" s="22">
        <v>2925.7</v>
      </c>
      <c r="F145" s="49">
        <v>2770.2</v>
      </c>
      <c r="G145" s="46">
        <f>SUM(H145:S145)</f>
        <v>4040811.5</v>
      </c>
      <c r="H145" s="35">
        <v>0</v>
      </c>
      <c r="I145" s="35"/>
      <c r="J145" s="35">
        <v>0</v>
      </c>
      <c r="K145" s="23">
        <v>4040811.5</v>
      </c>
      <c r="L145" s="23"/>
      <c r="M145" s="35">
        <v>0</v>
      </c>
      <c r="N145" s="35"/>
      <c r="O145" s="35">
        <v>0</v>
      </c>
      <c r="P145" s="35"/>
      <c r="Q145" s="35">
        <v>0</v>
      </c>
      <c r="R145" s="35"/>
      <c r="S145" s="35">
        <v>0</v>
      </c>
      <c r="T145" s="35">
        <v>0</v>
      </c>
      <c r="U145" s="35">
        <v>0</v>
      </c>
      <c r="V145" s="23">
        <v>4040811.5</v>
      </c>
      <c r="W145" s="46">
        <v>0</v>
      </c>
      <c r="X145" s="165">
        <v>2014</v>
      </c>
      <c r="Y145" s="165">
        <v>2014</v>
      </c>
      <c r="Z145" s="176"/>
    </row>
    <row r="146" spans="1:26" s="122" customFormat="1" ht="18" customHeight="1">
      <c r="A146" s="165">
        <f t="shared" si="27"/>
        <v>112</v>
      </c>
      <c r="B146" s="24" t="s">
        <v>100</v>
      </c>
      <c r="C146" s="148">
        <v>1972</v>
      </c>
      <c r="D146" s="51"/>
      <c r="E146" s="22">
        <v>7877.8</v>
      </c>
      <c r="F146" s="49">
        <v>7314.8</v>
      </c>
      <c r="G146" s="46">
        <f>SUM(H146:S146)</f>
        <v>11035310</v>
      </c>
      <c r="H146" s="35">
        <v>0</v>
      </c>
      <c r="I146" s="35"/>
      <c r="J146" s="35">
        <v>0</v>
      </c>
      <c r="K146" s="23">
        <v>11035310</v>
      </c>
      <c r="L146" s="23"/>
      <c r="M146" s="35">
        <v>0</v>
      </c>
      <c r="N146" s="35"/>
      <c r="O146" s="35">
        <v>0</v>
      </c>
      <c r="P146" s="35"/>
      <c r="Q146" s="35">
        <v>0</v>
      </c>
      <c r="R146" s="35"/>
      <c r="S146" s="35">
        <v>0</v>
      </c>
      <c r="T146" s="35">
        <v>0</v>
      </c>
      <c r="U146" s="35">
        <v>0</v>
      </c>
      <c r="V146" s="23">
        <v>11035310</v>
      </c>
      <c r="W146" s="46">
        <v>0</v>
      </c>
      <c r="X146" s="165">
        <v>2014</v>
      </c>
      <c r="Y146" s="165">
        <v>2014</v>
      </c>
      <c r="Z146" s="176"/>
    </row>
    <row r="147" spans="1:26" s="122" customFormat="1" ht="18" customHeight="1">
      <c r="A147" s="165">
        <f t="shared" si="27"/>
        <v>113</v>
      </c>
      <c r="B147" s="24" t="s">
        <v>101</v>
      </c>
      <c r="C147" s="148">
        <v>1968</v>
      </c>
      <c r="D147" s="51"/>
      <c r="E147" s="22">
        <v>3014.6</v>
      </c>
      <c r="F147" s="49">
        <v>2655.3</v>
      </c>
      <c r="G147" s="46">
        <f>SUM(H147:S147)</f>
        <v>3502053</v>
      </c>
      <c r="H147" s="35">
        <v>0</v>
      </c>
      <c r="I147" s="35"/>
      <c r="J147" s="35">
        <v>0</v>
      </c>
      <c r="K147" s="23">
        <v>3502053</v>
      </c>
      <c r="L147" s="23"/>
      <c r="M147" s="35">
        <v>0</v>
      </c>
      <c r="N147" s="35"/>
      <c r="O147" s="35">
        <v>0</v>
      </c>
      <c r="P147" s="35"/>
      <c r="Q147" s="35">
        <v>0</v>
      </c>
      <c r="R147" s="35"/>
      <c r="S147" s="35">
        <v>0</v>
      </c>
      <c r="T147" s="35">
        <v>0</v>
      </c>
      <c r="U147" s="35">
        <v>0</v>
      </c>
      <c r="V147" s="23">
        <v>3502053</v>
      </c>
      <c r="W147" s="46">
        <v>0</v>
      </c>
      <c r="X147" s="165">
        <v>2014</v>
      </c>
      <c r="Y147" s="165">
        <v>2014</v>
      </c>
      <c r="Z147" s="176"/>
    </row>
    <row r="148" spans="1:26" s="122" customFormat="1" ht="18" customHeight="1">
      <c r="A148" s="165">
        <f t="shared" si="27"/>
        <v>114</v>
      </c>
      <c r="B148" s="24" t="s">
        <v>127</v>
      </c>
      <c r="C148" s="148">
        <v>1972</v>
      </c>
      <c r="D148" s="51"/>
      <c r="E148" s="22">
        <v>5687.9</v>
      </c>
      <c r="F148" s="49">
        <v>5670.9</v>
      </c>
      <c r="G148" s="46">
        <f>SUM(H148:S148)</f>
        <v>4250585.45</v>
      </c>
      <c r="H148" s="35">
        <v>0</v>
      </c>
      <c r="I148" s="35"/>
      <c r="J148" s="35">
        <v>0</v>
      </c>
      <c r="K148" s="23">
        <v>4250585.45</v>
      </c>
      <c r="L148" s="23"/>
      <c r="M148" s="35">
        <v>0</v>
      </c>
      <c r="N148" s="35"/>
      <c r="O148" s="35">
        <v>0</v>
      </c>
      <c r="P148" s="35"/>
      <c r="Q148" s="35">
        <v>0</v>
      </c>
      <c r="R148" s="35"/>
      <c r="S148" s="35">
        <v>0</v>
      </c>
      <c r="T148" s="35">
        <v>0</v>
      </c>
      <c r="U148" s="35">
        <v>0</v>
      </c>
      <c r="V148" s="23">
        <v>4250585.45</v>
      </c>
      <c r="W148" s="46">
        <v>0</v>
      </c>
      <c r="X148" s="165">
        <v>2014</v>
      </c>
      <c r="Y148" s="165">
        <v>2014</v>
      </c>
      <c r="Z148" s="176"/>
    </row>
    <row r="149" spans="1:26" s="122" customFormat="1" ht="18" customHeight="1">
      <c r="A149" s="165">
        <f t="shared" si="27"/>
        <v>115</v>
      </c>
      <c r="B149" s="24" t="s">
        <v>22</v>
      </c>
      <c r="C149" s="148">
        <v>1978</v>
      </c>
      <c r="D149" s="51"/>
      <c r="E149" s="22">
        <v>4228.6000000000004</v>
      </c>
      <c r="F149" s="49">
        <v>3854.1</v>
      </c>
      <c r="G149" s="46">
        <f>SUM(H149:S149)</f>
        <v>1097990</v>
      </c>
      <c r="H149" s="23">
        <v>1097990</v>
      </c>
      <c r="I149" s="23"/>
      <c r="J149" s="35">
        <v>0</v>
      </c>
      <c r="K149" s="35">
        <v>0</v>
      </c>
      <c r="L149" s="35"/>
      <c r="M149" s="35">
        <v>0</v>
      </c>
      <c r="N149" s="35"/>
      <c r="O149" s="35">
        <v>0</v>
      </c>
      <c r="P149" s="35"/>
      <c r="Q149" s="35">
        <v>0</v>
      </c>
      <c r="R149" s="35"/>
      <c r="S149" s="35">
        <v>0</v>
      </c>
      <c r="T149" s="35">
        <v>0</v>
      </c>
      <c r="U149" s="35">
        <v>0</v>
      </c>
      <c r="V149" s="23">
        <v>1097990</v>
      </c>
      <c r="W149" s="46">
        <v>0</v>
      </c>
      <c r="X149" s="165">
        <v>2014</v>
      </c>
      <c r="Y149" s="165">
        <v>2014</v>
      </c>
      <c r="Z149" s="176"/>
    </row>
    <row r="150" spans="1:26" s="122" customFormat="1" ht="18" customHeight="1">
      <c r="A150" s="165">
        <f t="shared" si="27"/>
        <v>116</v>
      </c>
      <c r="B150" s="24" t="s">
        <v>23</v>
      </c>
      <c r="C150" s="148">
        <v>1939</v>
      </c>
      <c r="D150" s="51"/>
      <c r="E150" s="22">
        <v>3324.9</v>
      </c>
      <c r="F150" s="49">
        <v>2434.4</v>
      </c>
      <c r="G150" s="46">
        <f>SUM(H150:S150)</f>
        <v>8042489.7999999998</v>
      </c>
      <c r="H150" s="35">
        <v>0</v>
      </c>
      <c r="I150" s="35"/>
      <c r="J150" s="35">
        <v>0</v>
      </c>
      <c r="K150" s="23">
        <v>8042489.7999999998</v>
      </c>
      <c r="L150" s="23"/>
      <c r="M150" s="35">
        <v>0</v>
      </c>
      <c r="N150" s="35"/>
      <c r="O150" s="35">
        <v>0</v>
      </c>
      <c r="P150" s="35"/>
      <c r="Q150" s="35">
        <v>0</v>
      </c>
      <c r="R150" s="35"/>
      <c r="S150" s="35">
        <v>0</v>
      </c>
      <c r="T150" s="35">
        <v>0</v>
      </c>
      <c r="U150" s="35">
        <v>0</v>
      </c>
      <c r="V150" s="23">
        <v>8042489.7999999998</v>
      </c>
      <c r="W150" s="46">
        <v>0</v>
      </c>
      <c r="X150" s="165">
        <v>2014</v>
      </c>
      <c r="Y150" s="165">
        <v>2014</v>
      </c>
      <c r="Z150" s="176"/>
    </row>
    <row r="151" spans="1:26" s="122" customFormat="1" ht="18" customHeight="1">
      <c r="A151" s="165">
        <f t="shared" si="27"/>
        <v>117</v>
      </c>
      <c r="B151" s="24" t="s">
        <v>553</v>
      </c>
      <c r="C151" s="148">
        <v>1958</v>
      </c>
      <c r="D151" s="51"/>
      <c r="E151" s="22">
        <v>5189.3</v>
      </c>
      <c r="F151" s="49">
        <v>3841.3</v>
      </c>
      <c r="G151" s="46">
        <f>SUM(H151:S151)</f>
        <v>11947730.17</v>
      </c>
      <c r="H151" s="35">
        <v>0</v>
      </c>
      <c r="I151" s="35"/>
      <c r="J151" s="35">
        <v>0</v>
      </c>
      <c r="K151" s="23">
        <v>11947730.17</v>
      </c>
      <c r="L151" s="23"/>
      <c r="M151" s="35">
        <v>0</v>
      </c>
      <c r="N151" s="35"/>
      <c r="O151" s="35">
        <v>0</v>
      </c>
      <c r="P151" s="35"/>
      <c r="Q151" s="35">
        <v>0</v>
      </c>
      <c r="R151" s="35"/>
      <c r="S151" s="35">
        <v>0</v>
      </c>
      <c r="T151" s="35">
        <v>0</v>
      </c>
      <c r="U151" s="35">
        <v>0</v>
      </c>
      <c r="V151" s="23">
        <v>11947730.17</v>
      </c>
      <c r="W151" s="46">
        <v>0</v>
      </c>
      <c r="X151" s="165">
        <v>2014</v>
      </c>
      <c r="Y151" s="165">
        <v>2014</v>
      </c>
      <c r="Z151" s="176"/>
    </row>
    <row r="152" spans="1:26" s="122" customFormat="1" ht="18" customHeight="1">
      <c r="A152" s="165">
        <f t="shared" si="27"/>
        <v>118</v>
      </c>
      <c r="B152" s="24" t="s">
        <v>557</v>
      </c>
      <c r="C152" s="148">
        <v>1960</v>
      </c>
      <c r="D152" s="51"/>
      <c r="E152" s="22">
        <v>3060.9</v>
      </c>
      <c r="F152" s="49">
        <v>2822.7</v>
      </c>
      <c r="G152" s="46">
        <f>SUM(H152:S152)</f>
        <v>3000000</v>
      </c>
      <c r="H152" s="23">
        <v>3000000</v>
      </c>
      <c r="I152" s="23"/>
      <c r="J152" s="35">
        <v>0</v>
      </c>
      <c r="K152" s="35">
        <v>0</v>
      </c>
      <c r="L152" s="35"/>
      <c r="M152" s="35">
        <v>0</v>
      </c>
      <c r="N152" s="35"/>
      <c r="O152" s="35">
        <v>0</v>
      </c>
      <c r="P152" s="35"/>
      <c r="Q152" s="35">
        <v>0</v>
      </c>
      <c r="R152" s="35"/>
      <c r="S152" s="35">
        <v>0</v>
      </c>
      <c r="T152" s="35">
        <v>0</v>
      </c>
      <c r="U152" s="35">
        <v>0</v>
      </c>
      <c r="V152" s="23">
        <v>3000000</v>
      </c>
      <c r="W152" s="46">
        <v>0</v>
      </c>
      <c r="X152" s="165">
        <v>2014</v>
      </c>
      <c r="Y152" s="165">
        <v>2014</v>
      </c>
      <c r="Z152" s="176"/>
    </row>
    <row r="153" spans="1:26" s="122" customFormat="1" ht="18" customHeight="1">
      <c r="A153" s="165">
        <f t="shared" si="27"/>
        <v>119</v>
      </c>
      <c r="B153" s="24" t="s">
        <v>499</v>
      </c>
      <c r="C153" s="148">
        <v>1981</v>
      </c>
      <c r="D153" s="51"/>
      <c r="E153" s="22">
        <v>2747.2</v>
      </c>
      <c r="F153" s="49">
        <v>2612.1999999999998</v>
      </c>
      <c r="G153" s="46">
        <f>SUM(H153:S153)</f>
        <v>1279600</v>
      </c>
      <c r="H153" s="23">
        <v>1279600</v>
      </c>
      <c r="I153" s="23"/>
      <c r="J153" s="35">
        <v>0</v>
      </c>
      <c r="K153" s="35">
        <v>0</v>
      </c>
      <c r="L153" s="35"/>
      <c r="M153" s="35">
        <v>0</v>
      </c>
      <c r="N153" s="35"/>
      <c r="O153" s="35">
        <v>0</v>
      </c>
      <c r="P153" s="35"/>
      <c r="Q153" s="35">
        <v>0</v>
      </c>
      <c r="R153" s="35"/>
      <c r="S153" s="35">
        <v>0</v>
      </c>
      <c r="T153" s="35">
        <v>0</v>
      </c>
      <c r="U153" s="35">
        <v>0</v>
      </c>
      <c r="V153" s="23">
        <v>1138800</v>
      </c>
      <c r="W153" s="46">
        <v>140800</v>
      </c>
      <c r="X153" s="165">
        <v>2014</v>
      </c>
      <c r="Y153" s="165">
        <v>2014</v>
      </c>
      <c r="Z153" s="176"/>
    </row>
    <row r="154" spans="1:26" s="122" customFormat="1" ht="18" customHeight="1">
      <c r="A154" s="165">
        <f t="shared" si="27"/>
        <v>120</v>
      </c>
      <c r="B154" s="24" t="s">
        <v>53</v>
      </c>
      <c r="C154" s="148">
        <v>1987</v>
      </c>
      <c r="D154" s="51"/>
      <c r="E154" s="22">
        <v>6374.4</v>
      </c>
      <c r="F154" s="49">
        <v>5568.1</v>
      </c>
      <c r="G154" s="46">
        <f>SUM(H154:S154)</f>
        <v>5981800</v>
      </c>
      <c r="H154" s="35">
        <v>0</v>
      </c>
      <c r="I154" s="35"/>
      <c r="J154" s="23">
        <v>5981800</v>
      </c>
      <c r="K154" s="35">
        <v>0</v>
      </c>
      <c r="L154" s="35"/>
      <c r="M154" s="35">
        <v>0</v>
      </c>
      <c r="N154" s="35"/>
      <c r="O154" s="35">
        <v>0</v>
      </c>
      <c r="P154" s="35"/>
      <c r="Q154" s="35">
        <v>0</v>
      </c>
      <c r="R154" s="35"/>
      <c r="S154" s="35">
        <v>0</v>
      </c>
      <c r="T154" s="35">
        <v>0</v>
      </c>
      <c r="U154" s="35">
        <v>0</v>
      </c>
      <c r="V154" s="23">
        <v>5323800</v>
      </c>
      <c r="W154" s="46">
        <v>658000</v>
      </c>
      <c r="X154" s="165">
        <v>2014</v>
      </c>
      <c r="Y154" s="165">
        <v>2014</v>
      </c>
      <c r="Z154" s="176"/>
    </row>
    <row r="155" spans="1:26" s="122" customFormat="1" ht="18" customHeight="1">
      <c r="A155" s="165">
        <f t="shared" si="27"/>
        <v>121</v>
      </c>
      <c r="B155" s="24" t="s">
        <v>55</v>
      </c>
      <c r="C155" s="148">
        <v>1993</v>
      </c>
      <c r="D155" s="51"/>
      <c r="E155" s="22">
        <v>4336.8999999999996</v>
      </c>
      <c r="F155" s="49">
        <v>3632.8</v>
      </c>
      <c r="G155" s="46">
        <f>SUM(H155:S155)</f>
        <v>1984555.5</v>
      </c>
      <c r="H155" s="35">
        <v>0</v>
      </c>
      <c r="I155" s="35"/>
      <c r="J155" s="35">
        <v>0</v>
      </c>
      <c r="K155" s="23">
        <v>1984555.5</v>
      </c>
      <c r="L155" s="23"/>
      <c r="M155" s="35">
        <v>0</v>
      </c>
      <c r="N155" s="35"/>
      <c r="O155" s="35">
        <v>0</v>
      </c>
      <c r="P155" s="35"/>
      <c r="Q155" s="35">
        <v>0</v>
      </c>
      <c r="R155" s="35"/>
      <c r="S155" s="35">
        <v>0</v>
      </c>
      <c r="T155" s="35">
        <v>0</v>
      </c>
      <c r="U155" s="35">
        <v>0</v>
      </c>
      <c r="V155" s="23">
        <v>1984555.5</v>
      </c>
      <c r="W155" s="46">
        <v>0</v>
      </c>
      <c r="X155" s="165">
        <v>2014</v>
      </c>
      <c r="Y155" s="165">
        <v>2014</v>
      </c>
      <c r="Z155" s="176"/>
    </row>
    <row r="156" spans="1:26" s="122" customFormat="1" ht="18" customHeight="1">
      <c r="A156" s="165">
        <f t="shared" si="27"/>
        <v>122</v>
      </c>
      <c r="B156" s="24" t="s">
        <v>56</v>
      </c>
      <c r="C156" s="148">
        <v>1961</v>
      </c>
      <c r="D156" s="51"/>
      <c r="E156" s="22">
        <v>1571.2</v>
      </c>
      <c r="F156" s="49">
        <v>1297.5</v>
      </c>
      <c r="G156" s="46">
        <f>SUM(H156:S156)</f>
        <v>1500000</v>
      </c>
      <c r="H156" s="23">
        <v>1500000</v>
      </c>
      <c r="I156" s="23"/>
      <c r="J156" s="35">
        <v>0</v>
      </c>
      <c r="K156" s="35">
        <v>0</v>
      </c>
      <c r="L156" s="35"/>
      <c r="M156" s="35">
        <v>0</v>
      </c>
      <c r="N156" s="35"/>
      <c r="O156" s="35">
        <v>0</v>
      </c>
      <c r="P156" s="35"/>
      <c r="Q156" s="35">
        <v>0</v>
      </c>
      <c r="R156" s="35"/>
      <c r="S156" s="35">
        <v>0</v>
      </c>
      <c r="T156" s="35">
        <v>0</v>
      </c>
      <c r="U156" s="35">
        <v>0</v>
      </c>
      <c r="V156" s="23">
        <v>1500000</v>
      </c>
      <c r="W156" s="46">
        <v>0</v>
      </c>
      <c r="X156" s="165">
        <v>2014</v>
      </c>
      <c r="Y156" s="165">
        <v>2014</v>
      </c>
      <c r="Z156" s="176"/>
    </row>
    <row r="157" spans="1:26" s="122" customFormat="1" ht="18" customHeight="1">
      <c r="A157" s="165">
        <f t="shared" si="27"/>
        <v>123</v>
      </c>
      <c r="B157" s="24" t="s">
        <v>549</v>
      </c>
      <c r="C157" s="148">
        <v>1981</v>
      </c>
      <c r="D157" s="51"/>
      <c r="E157" s="22">
        <v>11298.7</v>
      </c>
      <c r="F157" s="49">
        <v>11015</v>
      </c>
      <c r="G157" s="46">
        <f>SUM(H157:S157)</f>
        <v>13400000</v>
      </c>
      <c r="H157" s="35">
        <v>0</v>
      </c>
      <c r="I157" s="35"/>
      <c r="J157" s="23">
        <v>13400000</v>
      </c>
      <c r="K157" s="35">
        <v>0</v>
      </c>
      <c r="L157" s="35"/>
      <c r="M157" s="35">
        <v>0</v>
      </c>
      <c r="N157" s="35"/>
      <c r="O157" s="35">
        <v>0</v>
      </c>
      <c r="P157" s="35"/>
      <c r="Q157" s="35">
        <v>0</v>
      </c>
      <c r="R157" s="35"/>
      <c r="S157" s="35">
        <v>0</v>
      </c>
      <c r="T157" s="35">
        <v>0</v>
      </c>
      <c r="U157" s="35">
        <v>0</v>
      </c>
      <c r="V157" s="23">
        <v>11926000</v>
      </c>
      <c r="W157" s="46">
        <v>1474000</v>
      </c>
      <c r="X157" s="165">
        <v>2014</v>
      </c>
      <c r="Y157" s="165">
        <v>2014</v>
      </c>
      <c r="Z157" s="176"/>
    </row>
    <row r="158" spans="1:26" s="122" customFormat="1" ht="18" customHeight="1">
      <c r="A158" s="165">
        <f t="shared" si="27"/>
        <v>124</v>
      </c>
      <c r="B158" s="24" t="s">
        <v>164</v>
      </c>
      <c r="C158" s="148">
        <v>1967</v>
      </c>
      <c r="D158" s="51"/>
      <c r="E158" s="126">
        <v>3705.2</v>
      </c>
      <c r="F158" s="49">
        <v>3387.4</v>
      </c>
      <c r="G158" s="46">
        <f>SUM(H158:S158)</f>
        <v>4131050</v>
      </c>
      <c r="H158" s="46">
        <v>0</v>
      </c>
      <c r="I158" s="46"/>
      <c r="J158" s="46">
        <v>0</v>
      </c>
      <c r="K158" s="46">
        <v>4131050</v>
      </c>
      <c r="L158" s="46"/>
      <c r="M158" s="46">
        <v>0</v>
      </c>
      <c r="N158" s="46"/>
      <c r="O158" s="129">
        <v>0</v>
      </c>
      <c r="P158" s="129"/>
      <c r="Q158" s="129">
        <v>0</v>
      </c>
      <c r="R158" s="129"/>
      <c r="S158" s="129">
        <v>0</v>
      </c>
      <c r="T158" s="35">
        <v>0</v>
      </c>
      <c r="U158" s="35">
        <v>0</v>
      </c>
      <c r="V158" s="35">
        <v>0</v>
      </c>
      <c r="W158" s="46">
        <f>G158</f>
        <v>4131050</v>
      </c>
      <c r="X158" s="165">
        <v>2015</v>
      </c>
      <c r="Y158" s="165">
        <v>2015</v>
      </c>
      <c r="Z158" s="176"/>
    </row>
    <row r="159" spans="1:26" s="122" customFormat="1" ht="18" customHeight="1">
      <c r="A159" s="165">
        <f t="shared" si="27"/>
        <v>125</v>
      </c>
      <c r="B159" s="24" t="s">
        <v>165</v>
      </c>
      <c r="C159" s="148">
        <v>1970</v>
      </c>
      <c r="D159" s="51"/>
      <c r="E159" s="126">
        <v>2849.7</v>
      </c>
      <c r="F159" s="49">
        <v>2400.1</v>
      </c>
      <c r="G159" s="46">
        <f>SUM(H159:S159)</f>
        <v>777777</v>
      </c>
      <c r="H159" s="46">
        <v>777777</v>
      </c>
      <c r="I159" s="46"/>
      <c r="J159" s="46">
        <v>0</v>
      </c>
      <c r="K159" s="46">
        <v>0</v>
      </c>
      <c r="L159" s="46"/>
      <c r="M159" s="46">
        <v>0</v>
      </c>
      <c r="N159" s="46"/>
      <c r="O159" s="129">
        <v>0</v>
      </c>
      <c r="P159" s="129"/>
      <c r="Q159" s="129">
        <v>0</v>
      </c>
      <c r="R159" s="129"/>
      <c r="S159" s="129">
        <v>0</v>
      </c>
      <c r="T159" s="35">
        <v>0</v>
      </c>
      <c r="U159" s="35">
        <v>0</v>
      </c>
      <c r="V159" s="35">
        <v>0</v>
      </c>
      <c r="W159" s="46">
        <f>G159</f>
        <v>777777</v>
      </c>
      <c r="X159" s="165">
        <v>2015</v>
      </c>
      <c r="Y159" s="165">
        <v>2015</v>
      </c>
      <c r="Z159" s="176"/>
    </row>
    <row r="160" spans="1:26" s="122" customFormat="1" ht="18" customHeight="1">
      <c r="A160" s="165">
        <f t="shared" si="27"/>
        <v>126</v>
      </c>
      <c r="B160" s="24" t="s">
        <v>166</v>
      </c>
      <c r="C160" s="148">
        <v>1977</v>
      </c>
      <c r="D160" s="51"/>
      <c r="E160" s="126">
        <v>2318.1</v>
      </c>
      <c r="F160" s="49">
        <v>1990.4</v>
      </c>
      <c r="G160" s="46">
        <f>SUM(H160:S160)</f>
        <v>625000</v>
      </c>
      <c r="H160" s="46">
        <v>625000</v>
      </c>
      <c r="I160" s="46"/>
      <c r="J160" s="46">
        <v>0</v>
      </c>
      <c r="K160" s="46">
        <v>0</v>
      </c>
      <c r="L160" s="46"/>
      <c r="M160" s="46">
        <v>0</v>
      </c>
      <c r="N160" s="46"/>
      <c r="O160" s="129">
        <v>0</v>
      </c>
      <c r="P160" s="129"/>
      <c r="Q160" s="129">
        <v>0</v>
      </c>
      <c r="R160" s="129"/>
      <c r="S160" s="129">
        <v>0</v>
      </c>
      <c r="T160" s="35">
        <v>0</v>
      </c>
      <c r="U160" s="35">
        <v>0</v>
      </c>
      <c r="V160" s="35">
        <v>0</v>
      </c>
      <c r="W160" s="46">
        <f>G160</f>
        <v>625000</v>
      </c>
      <c r="X160" s="165">
        <v>2015</v>
      </c>
      <c r="Y160" s="165">
        <v>2015</v>
      </c>
      <c r="Z160" s="176"/>
    </row>
    <row r="161" spans="1:26" s="122" customFormat="1" ht="18" customHeight="1">
      <c r="A161" s="165">
        <f t="shared" si="27"/>
        <v>127</v>
      </c>
      <c r="B161" s="24" t="s">
        <v>167</v>
      </c>
      <c r="C161" s="148">
        <v>1978</v>
      </c>
      <c r="D161" s="51"/>
      <c r="E161" s="126">
        <v>9323.5</v>
      </c>
      <c r="F161" s="49">
        <v>8063.9</v>
      </c>
      <c r="G161" s="46">
        <f>SUM(H161:S161)</f>
        <v>8631685.9199999999</v>
      </c>
      <c r="H161" s="46">
        <v>0</v>
      </c>
      <c r="I161" s="46"/>
      <c r="J161" s="46">
        <v>8631685.9199999999</v>
      </c>
      <c r="K161" s="46">
        <v>0</v>
      </c>
      <c r="L161" s="46"/>
      <c r="M161" s="46">
        <v>0</v>
      </c>
      <c r="N161" s="46"/>
      <c r="O161" s="129">
        <v>0</v>
      </c>
      <c r="P161" s="129"/>
      <c r="Q161" s="129">
        <v>0</v>
      </c>
      <c r="R161" s="129"/>
      <c r="S161" s="129">
        <v>0</v>
      </c>
      <c r="T161" s="35">
        <v>0</v>
      </c>
      <c r="U161" s="35">
        <v>0</v>
      </c>
      <c r="V161" s="35">
        <v>0</v>
      </c>
      <c r="W161" s="46">
        <f>G161</f>
        <v>8631685.9199999999</v>
      </c>
      <c r="X161" s="165">
        <v>2015</v>
      </c>
      <c r="Y161" s="165">
        <v>2015</v>
      </c>
      <c r="Z161" s="176"/>
    </row>
    <row r="162" spans="1:26" s="122" customFormat="1" ht="18" customHeight="1">
      <c r="A162" s="165">
        <f t="shared" si="27"/>
        <v>128</v>
      </c>
      <c r="B162" s="24" t="s">
        <v>168</v>
      </c>
      <c r="C162" s="148">
        <v>1977</v>
      </c>
      <c r="D162" s="51"/>
      <c r="E162" s="126">
        <v>4527.1000000000004</v>
      </c>
      <c r="F162" s="49">
        <v>4510.5</v>
      </c>
      <c r="G162" s="46">
        <f>SUM(H162:S162)</f>
        <v>5009235.3499999996</v>
      </c>
      <c r="H162" s="46">
        <v>0</v>
      </c>
      <c r="I162" s="46"/>
      <c r="J162" s="46">
        <v>0</v>
      </c>
      <c r="K162" s="46">
        <v>5009235.3499999996</v>
      </c>
      <c r="L162" s="46"/>
      <c r="M162" s="46">
        <v>0</v>
      </c>
      <c r="N162" s="46"/>
      <c r="O162" s="129">
        <v>0</v>
      </c>
      <c r="P162" s="129"/>
      <c r="Q162" s="129">
        <v>0</v>
      </c>
      <c r="R162" s="129"/>
      <c r="S162" s="129">
        <v>0</v>
      </c>
      <c r="T162" s="35">
        <v>0</v>
      </c>
      <c r="U162" s="35">
        <v>0</v>
      </c>
      <c r="V162" s="35">
        <v>0</v>
      </c>
      <c r="W162" s="46">
        <f>G162</f>
        <v>5009235.3499999996</v>
      </c>
      <c r="X162" s="165">
        <v>2015</v>
      </c>
      <c r="Y162" s="165">
        <v>2015</v>
      </c>
      <c r="Z162" s="176"/>
    </row>
    <row r="163" spans="1:26" s="122" customFormat="1" ht="18" customHeight="1">
      <c r="A163" s="165">
        <f t="shared" si="27"/>
        <v>129</v>
      </c>
      <c r="B163" s="24" t="s">
        <v>547</v>
      </c>
      <c r="C163" s="148">
        <v>1973</v>
      </c>
      <c r="D163" s="51"/>
      <c r="E163" s="126">
        <v>5839.2</v>
      </c>
      <c r="F163" s="49">
        <v>5757.5</v>
      </c>
      <c r="G163" s="46">
        <f>SUM(H163:S163)</f>
        <v>814000</v>
      </c>
      <c r="H163" s="46">
        <v>814000</v>
      </c>
      <c r="I163" s="46"/>
      <c r="J163" s="46">
        <v>0</v>
      </c>
      <c r="K163" s="46">
        <v>0</v>
      </c>
      <c r="L163" s="46"/>
      <c r="M163" s="46">
        <v>0</v>
      </c>
      <c r="N163" s="46"/>
      <c r="O163" s="129">
        <v>0</v>
      </c>
      <c r="P163" s="129"/>
      <c r="Q163" s="129">
        <v>0</v>
      </c>
      <c r="R163" s="129"/>
      <c r="S163" s="129">
        <v>0</v>
      </c>
      <c r="T163" s="35">
        <v>0</v>
      </c>
      <c r="U163" s="35">
        <v>0</v>
      </c>
      <c r="V163" s="35">
        <v>0</v>
      </c>
      <c r="W163" s="46">
        <f>G163</f>
        <v>814000</v>
      </c>
      <c r="X163" s="165">
        <v>2015</v>
      </c>
      <c r="Y163" s="165">
        <v>2015</v>
      </c>
      <c r="Z163" s="176"/>
    </row>
    <row r="164" spans="1:26" s="122" customFormat="1" ht="18" customHeight="1">
      <c r="A164" s="165">
        <f t="shared" si="27"/>
        <v>130</v>
      </c>
      <c r="B164" s="24" t="s">
        <v>560</v>
      </c>
      <c r="C164" s="148">
        <v>1975</v>
      </c>
      <c r="D164" s="51"/>
      <c r="E164" s="126">
        <v>1118.2</v>
      </c>
      <c r="F164" s="49">
        <v>993.2</v>
      </c>
      <c r="G164" s="46">
        <f>SUM(H164:S164)</f>
        <v>1088607.8</v>
      </c>
      <c r="H164" s="46">
        <v>0</v>
      </c>
      <c r="I164" s="46"/>
      <c r="J164" s="46">
        <v>0</v>
      </c>
      <c r="K164" s="46">
        <v>1088607.8</v>
      </c>
      <c r="L164" s="46"/>
      <c r="M164" s="46">
        <v>0</v>
      </c>
      <c r="N164" s="46"/>
      <c r="O164" s="129">
        <v>0</v>
      </c>
      <c r="P164" s="129"/>
      <c r="Q164" s="129">
        <v>0</v>
      </c>
      <c r="R164" s="129"/>
      <c r="S164" s="129">
        <v>0</v>
      </c>
      <c r="T164" s="35">
        <v>0</v>
      </c>
      <c r="U164" s="35">
        <v>0</v>
      </c>
      <c r="V164" s="35">
        <v>0</v>
      </c>
      <c r="W164" s="46">
        <f>G164</f>
        <v>1088607.8</v>
      </c>
      <c r="X164" s="165">
        <v>2015</v>
      </c>
      <c r="Y164" s="165">
        <v>2015</v>
      </c>
      <c r="Z164" s="176"/>
    </row>
    <row r="165" spans="1:26" s="122" customFormat="1" ht="18" customHeight="1">
      <c r="A165" s="165">
        <f t="shared" si="27"/>
        <v>131</v>
      </c>
      <c r="B165" s="24" t="s">
        <v>170</v>
      </c>
      <c r="C165" s="148">
        <v>1977</v>
      </c>
      <c r="D165" s="51"/>
      <c r="E165" s="126">
        <v>4892.7</v>
      </c>
      <c r="F165" s="49">
        <v>4814.2</v>
      </c>
      <c r="G165" s="46">
        <f>SUM(H165:S165)</f>
        <v>5398479</v>
      </c>
      <c r="H165" s="46">
        <v>0</v>
      </c>
      <c r="I165" s="46"/>
      <c r="J165" s="46">
        <v>0</v>
      </c>
      <c r="K165" s="46">
        <v>5398479</v>
      </c>
      <c r="L165" s="46"/>
      <c r="M165" s="46">
        <v>0</v>
      </c>
      <c r="N165" s="46"/>
      <c r="O165" s="129">
        <v>0</v>
      </c>
      <c r="P165" s="129"/>
      <c r="Q165" s="129">
        <v>0</v>
      </c>
      <c r="R165" s="129"/>
      <c r="S165" s="129">
        <v>0</v>
      </c>
      <c r="T165" s="35">
        <v>0</v>
      </c>
      <c r="U165" s="35">
        <v>0</v>
      </c>
      <c r="V165" s="35">
        <v>0</v>
      </c>
      <c r="W165" s="46">
        <f>G165</f>
        <v>5398479</v>
      </c>
      <c r="X165" s="165">
        <v>2015</v>
      </c>
      <c r="Y165" s="165">
        <v>2015</v>
      </c>
      <c r="Z165" s="176"/>
    </row>
    <row r="166" spans="1:26" s="122" customFormat="1" ht="18" customHeight="1">
      <c r="A166" s="165">
        <f t="shared" si="27"/>
        <v>132</v>
      </c>
      <c r="B166" s="24" t="s">
        <v>559</v>
      </c>
      <c r="C166" s="148">
        <v>1961</v>
      </c>
      <c r="D166" s="51"/>
      <c r="E166" s="126">
        <v>2616.1</v>
      </c>
      <c r="F166" s="49">
        <v>2455.3000000000002</v>
      </c>
      <c r="G166" s="46">
        <f>SUM(H166:S166)</f>
        <v>2730350</v>
      </c>
      <c r="H166" s="46">
        <v>0</v>
      </c>
      <c r="I166" s="46"/>
      <c r="J166" s="46">
        <v>0</v>
      </c>
      <c r="K166" s="46">
        <v>2730350</v>
      </c>
      <c r="L166" s="46"/>
      <c r="M166" s="46">
        <v>0</v>
      </c>
      <c r="N166" s="46"/>
      <c r="O166" s="129">
        <v>0</v>
      </c>
      <c r="P166" s="129"/>
      <c r="Q166" s="129">
        <v>0</v>
      </c>
      <c r="R166" s="129"/>
      <c r="S166" s="129">
        <v>0</v>
      </c>
      <c r="T166" s="35">
        <v>0</v>
      </c>
      <c r="U166" s="35">
        <v>0</v>
      </c>
      <c r="V166" s="35">
        <v>0</v>
      </c>
      <c r="W166" s="46">
        <f>G166</f>
        <v>2730350</v>
      </c>
      <c r="X166" s="165">
        <v>2015</v>
      </c>
      <c r="Y166" s="165">
        <v>2015</v>
      </c>
      <c r="Z166" s="176"/>
    </row>
    <row r="167" spans="1:26" s="122" customFormat="1" ht="18" customHeight="1">
      <c r="A167" s="165">
        <f t="shared" si="27"/>
        <v>133</v>
      </c>
      <c r="B167" s="24" t="s">
        <v>193</v>
      </c>
      <c r="C167" s="148">
        <v>1982</v>
      </c>
      <c r="D167" s="180"/>
      <c r="E167" s="126">
        <v>5393.5</v>
      </c>
      <c r="F167" s="49">
        <v>5340.3</v>
      </c>
      <c r="G167" s="46">
        <f>SUM(H167:S167)</f>
        <v>2131500</v>
      </c>
      <c r="H167" s="46">
        <v>0</v>
      </c>
      <c r="I167" s="46"/>
      <c r="J167" s="46">
        <v>0</v>
      </c>
      <c r="K167" s="46">
        <v>2131500</v>
      </c>
      <c r="L167" s="46"/>
      <c r="M167" s="46">
        <v>0</v>
      </c>
      <c r="N167" s="46"/>
      <c r="O167" s="129">
        <v>0</v>
      </c>
      <c r="P167" s="129"/>
      <c r="Q167" s="129">
        <v>0</v>
      </c>
      <c r="R167" s="129"/>
      <c r="S167" s="129">
        <v>0</v>
      </c>
      <c r="T167" s="35">
        <v>0</v>
      </c>
      <c r="U167" s="35">
        <v>0</v>
      </c>
      <c r="V167" s="35">
        <v>0</v>
      </c>
      <c r="W167" s="46">
        <f>G167</f>
        <v>2131500</v>
      </c>
      <c r="X167" s="165">
        <v>2015</v>
      </c>
      <c r="Y167" s="165">
        <v>2015</v>
      </c>
      <c r="Z167" s="176"/>
    </row>
    <row r="168" spans="1:26" s="122" customFormat="1" ht="18" customHeight="1">
      <c r="A168" s="165">
        <f t="shared" si="27"/>
        <v>134</v>
      </c>
      <c r="B168" s="24" t="s">
        <v>194</v>
      </c>
      <c r="C168" s="148">
        <v>1982</v>
      </c>
      <c r="D168" s="180"/>
      <c r="E168" s="126">
        <v>1701.4</v>
      </c>
      <c r="F168" s="49">
        <v>1682.5</v>
      </c>
      <c r="G168" s="46">
        <f>SUM(H168:S168)</f>
        <v>545567.92000000004</v>
      </c>
      <c r="H168" s="46">
        <v>0</v>
      </c>
      <c r="I168" s="46"/>
      <c r="J168" s="46">
        <v>0</v>
      </c>
      <c r="K168" s="46">
        <v>545567.92000000004</v>
      </c>
      <c r="L168" s="46"/>
      <c r="M168" s="46">
        <v>0</v>
      </c>
      <c r="N168" s="46"/>
      <c r="O168" s="129">
        <v>0</v>
      </c>
      <c r="P168" s="129"/>
      <c r="Q168" s="129">
        <v>0</v>
      </c>
      <c r="R168" s="129"/>
      <c r="S168" s="129">
        <v>0</v>
      </c>
      <c r="T168" s="35">
        <v>0</v>
      </c>
      <c r="U168" s="35">
        <v>0</v>
      </c>
      <c r="V168" s="35">
        <v>0</v>
      </c>
      <c r="W168" s="46">
        <f>G168</f>
        <v>545567.92000000004</v>
      </c>
      <c r="X168" s="165">
        <v>2015</v>
      </c>
      <c r="Y168" s="165">
        <v>2015</v>
      </c>
      <c r="Z168" s="176"/>
    </row>
    <row r="169" spans="1:26" s="122" customFormat="1" ht="18" customHeight="1">
      <c r="A169" s="165">
        <f t="shared" si="27"/>
        <v>135</v>
      </c>
      <c r="B169" s="24" t="s">
        <v>171</v>
      </c>
      <c r="C169" s="148">
        <v>1981</v>
      </c>
      <c r="D169" s="51"/>
      <c r="E169" s="126">
        <v>2408.9</v>
      </c>
      <c r="F169" s="49">
        <v>2375.6</v>
      </c>
      <c r="G169" s="46">
        <f>SUM(H169:S169)</f>
        <v>3100000</v>
      </c>
      <c r="H169" s="46">
        <v>0</v>
      </c>
      <c r="I169" s="46"/>
      <c r="J169" s="46">
        <v>3100000</v>
      </c>
      <c r="K169" s="46">
        <v>0</v>
      </c>
      <c r="L169" s="46"/>
      <c r="M169" s="46">
        <v>0</v>
      </c>
      <c r="N169" s="46"/>
      <c r="O169" s="129">
        <v>0</v>
      </c>
      <c r="P169" s="129"/>
      <c r="Q169" s="129">
        <v>0</v>
      </c>
      <c r="R169" s="129"/>
      <c r="S169" s="129">
        <v>0</v>
      </c>
      <c r="T169" s="35">
        <v>0</v>
      </c>
      <c r="U169" s="35">
        <v>0</v>
      </c>
      <c r="V169" s="35">
        <v>0</v>
      </c>
      <c r="W169" s="46">
        <f>G169</f>
        <v>3100000</v>
      </c>
      <c r="X169" s="165">
        <v>2015</v>
      </c>
      <c r="Y169" s="165">
        <v>2015</v>
      </c>
      <c r="Z169" s="176"/>
    </row>
    <row r="170" spans="1:26" s="122" customFormat="1" ht="18" customHeight="1">
      <c r="A170" s="165">
        <f t="shared" si="27"/>
        <v>136</v>
      </c>
      <c r="B170" s="24" t="s">
        <v>558</v>
      </c>
      <c r="C170" s="148">
        <v>1981</v>
      </c>
      <c r="D170" s="51"/>
      <c r="E170" s="126">
        <v>7703.2</v>
      </c>
      <c r="F170" s="49">
        <f>7703.2-200</f>
        <v>7503.2</v>
      </c>
      <c r="G170" s="46">
        <f>SUM(H170:S170)</f>
        <v>4658850</v>
      </c>
      <c r="H170" s="46">
        <v>0</v>
      </c>
      <c r="I170" s="46"/>
      <c r="J170" s="46">
        <v>0</v>
      </c>
      <c r="K170" s="46">
        <v>4658850</v>
      </c>
      <c r="L170" s="46"/>
      <c r="M170" s="46">
        <v>0</v>
      </c>
      <c r="N170" s="46"/>
      <c r="O170" s="129">
        <v>0</v>
      </c>
      <c r="P170" s="129"/>
      <c r="Q170" s="129">
        <v>0</v>
      </c>
      <c r="R170" s="129"/>
      <c r="S170" s="129">
        <v>0</v>
      </c>
      <c r="T170" s="35">
        <v>0</v>
      </c>
      <c r="U170" s="35">
        <v>0</v>
      </c>
      <c r="V170" s="35">
        <v>0</v>
      </c>
      <c r="W170" s="46">
        <f>G170</f>
        <v>4658850</v>
      </c>
      <c r="X170" s="165">
        <v>2015</v>
      </c>
      <c r="Y170" s="165">
        <v>2015</v>
      </c>
      <c r="Z170" s="176"/>
    </row>
    <row r="171" spans="1:26" s="122" customFormat="1" ht="18" customHeight="1">
      <c r="A171" s="165">
        <f t="shared" si="27"/>
        <v>137</v>
      </c>
      <c r="B171" s="24" t="s">
        <v>172</v>
      </c>
      <c r="C171" s="148">
        <v>1986</v>
      </c>
      <c r="D171" s="51"/>
      <c r="E171" s="126">
        <v>3491.3</v>
      </c>
      <c r="F171" s="49">
        <v>3398.1</v>
      </c>
      <c r="G171" s="46">
        <f>SUM(H171:S171)</f>
        <v>3542350</v>
      </c>
      <c r="H171" s="46">
        <v>0</v>
      </c>
      <c r="I171" s="46"/>
      <c r="J171" s="46">
        <v>0</v>
      </c>
      <c r="K171" s="46">
        <v>3542350</v>
      </c>
      <c r="L171" s="46"/>
      <c r="M171" s="46">
        <v>0</v>
      </c>
      <c r="N171" s="46"/>
      <c r="O171" s="129">
        <v>0</v>
      </c>
      <c r="P171" s="129"/>
      <c r="Q171" s="129">
        <v>0</v>
      </c>
      <c r="R171" s="129"/>
      <c r="S171" s="129">
        <v>0</v>
      </c>
      <c r="T171" s="35">
        <v>0</v>
      </c>
      <c r="U171" s="35">
        <v>0</v>
      </c>
      <c r="V171" s="35">
        <v>0</v>
      </c>
      <c r="W171" s="46">
        <f>G171</f>
        <v>3542350</v>
      </c>
      <c r="X171" s="165">
        <v>2015</v>
      </c>
      <c r="Y171" s="165">
        <v>2015</v>
      </c>
      <c r="Z171" s="176"/>
    </row>
    <row r="172" spans="1:26" s="122" customFormat="1" ht="18" customHeight="1">
      <c r="A172" s="165">
        <f t="shared" si="27"/>
        <v>138</v>
      </c>
      <c r="B172" s="24" t="s">
        <v>174</v>
      </c>
      <c r="C172" s="148">
        <v>1957</v>
      </c>
      <c r="D172" s="165"/>
      <c r="E172" s="126">
        <v>3384.9</v>
      </c>
      <c r="F172" s="49">
        <v>2617.8000000000002</v>
      </c>
      <c r="G172" s="46">
        <f>SUM(H172:S172)</f>
        <v>2182250</v>
      </c>
      <c r="H172" s="46">
        <v>0</v>
      </c>
      <c r="I172" s="46"/>
      <c r="J172" s="46">
        <v>0</v>
      </c>
      <c r="K172" s="46">
        <v>0</v>
      </c>
      <c r="L172" s="46"/>
      <c r="M172" s="46">
        <v>0</v>
      </c>
      <c r="N172" s="46"/>
      <c r="O172" s="46">
        <v>2182250</v>
      </c>
      <c r="P172" s="46"/>
      <c r="Q172" s="46">
        <v>0</v>
      </c>
      <c r="R172" s="46"/>
      <c r="S172" s="46">
        <v>0</v>
      </c>
      <c r="T172" s="46">
        <v>0</v>
      </c>
      <c r="U172" s="46">
        <v>0</v>
      </c>
      <c r="V172" s="46">
        <v>0</v>
      </c>
      <c r="W172" s="46">
        <f>G172</f>
        <v>2182250</v>
      </c>
      <c r="X172" s="165">
        <v>2015</v>
      </c>
      <c r="Y172" s="165">
        <v>2015</v>
      </c>
      <c r="Z172" s="176"/>
    </row>
    <row r="173" spans="1:26" s="122" customFormat="1" ht="18" customHeight="1">
      <c r="A173" s="165">
        <f t="shared" si="27"/>
        <v>139</v>
      </c>
      <c r="B173" s="24" t="s">
        <v>175</v>
      </c>
      <c r="C173" s="148">
        <v>1978</v>
      </c>
      <c r="D173" s="51"/>
      <c r="E173" s="126">
        <v>11007.1</v>
      </c>
      <c r="F173" s="49">
        <v>10820.4</v>
      </c>
      <c r="G173" s="46">
        <f>SUM(H173:S173)</f>
        <v>9550000</v>
      </c>
      <c r="H173" s="46">
        <v>0</v>
      </c>
      <c r="I173" s="46"/>
      <c r="J173" s="46">
        <v>9550000</v>
      </c>
      <c r="K173" s="46">
        <v>0</v>
      </c>
      <c r="L173" s="46"/>
      <c r="M173" s="46">
        <v>0</v>
      </c>
      <c r="N173" s="46"/>
      <c r="O173" s="129">
        <v>0</v>
      </c>
      <c r="P173" s="129"/>
      <c r="Q173" s="129">
        <v>0</v>
      </c>
      <c r="R173" s="129"/>
      <c r="S173" s="129">
        <v>0</v>
      </c>
      <c r="T173" s="35">
        <v>0</v>
      </c>
      <c r="U173" s="35">
        <v>0</v>
      </c>
      <c r="V173" s="35">
        <v>0</v>
      </c>
      <c r="W173" s="46">
        <f>G173</f>
        <v>9550000</v>
      </c>
      <c r="X173" s="165">
        <v>2015</v>
      </c>
      <c r="Y173" s="165">
        <v>2015</v>
      </c>
      <c r="Z173" s="176"/>
    </row>
    <row r="174" spans="1:26" s="122" customFormat="1" ht="18" customHeight="1">
      <c r="A174" s="165">
        <f t="shared" si="27"/>
        <v>140</v>
      </c>
      <c r="B174" s="24" t="s">
        <v>177</v>
      </c>
      <c r="C174" s="148">
        <v>1962</v>
      </c>
      <c r="D174" s="51"/>
      <c r="E174" s="126">
        <v>637.1</v>
      </c>
      <c r="F174" s="49">
        <f>637.1-10</f>
        <v>627.1</v>
      </c>
      <c r="G174" s="46">
        <f>SUM(H174:S174)</f>
        <v>700350</v>
      </c>
      <c r="H174" s="46">
        <v>0</v>
      </c>
      <c r="I174" s="46"/>
      <c r="J174" s="46">
        <v>0</v>
      </c>
      <c r="K174" s="46">
        <v>700350</v>
      </c>
      <c r="L174" s="46"/>
      <c r="M174" s="46">
        <v>0</v>
      </c>
      <c r="N174" s="46"/>
      <c r="O174" s="129">
        <v>0</v>
      </c>
      <c r="P174" s="129"/>
      <c r="Q174" s="129">
        <v>0</v>
      </c>
      <c r="R174" s="129"/>
      <c r="S174" s="129">
        <v>0</v>
      </c>
      <c r="T174" s="35">
        <v>0</v>
      </c>
      <c r="U174" s="35">
        <v>0</v>
      </c>
      <c r="V174" s="35">
        <v>0</v>
      </c>
      <c r="W174" s="46">
        <f>G174</f>
        <v>700350</v>
      </c>
      <c r="X174" s="165">
        <v>2015</v>
      </c>
      <c r="Y174" s="165">
        <v>2015</v>
      </c>
      <c r="Z174" s="176"/>
    </row>
    <row r="175" spans="1:26" s="122" customFormat="1" ht="18" customHeight="1">
      <c r="A175" s="165">
        <f t="shared" si="27"/>
        <v>141</v>
      </c>
      <c r="B175" s="24" t="s">
        <v>179</v>
      </c>
      <c r="C175" s="148">
        <v>1962</v>
      </c>
      <c r="D175" s="51"/>
      <c r="E175" s="126">
        <v>690.9</v>
      </c>
      <c r="F175" s="49">
        <f>690.9-12</f>
        <v>678.9</v>
      </c>
      <c r="G175" s="46">
        <f>SUM(H175:S175)</f>
        <v>761250</v>
      </c>
      <c r="H175" s="46">
        <v>0</v>
      </c>
      <c r="I175" s="46"/>
      <c r="J175" s="46">
        <v>0</v>
      </c>
      <c r="K175" s="46">
        <v>761250</v>
      </c>
      <c r="L175" s="46"/>
      <c r="M175" s="46">
        <v>0</v>
      </c>
      <c r="N175" s="46"/>
      <c r="O175" s="129">
        <v>0</v>
      </c>
      <c r="P175" s="129"/>
      <c r="Q175" s="129">
        <v>0</v>
      </c>
      <c r="R175" s="129"/>
      <c r="S175" s="129">
        <v>0</v>
      </c>
      <c r="T175" s="35">
        <v>0</v>
      </c>
      <c r="U175" s="35">
        <v>0</v>
      </c>
      <c r="V175" s="35">
        <v>0</v>
      </c>
      <c r="W175" s="46">
        <f>G175</f>
        <v>761250</v>
      </c>
      <c r="X175" s="165">
        <v>2015</v>
      </c>
      <c r="Y175" s="165">
        <v>2015</v>
      </c>
      <c r="Z175" s="176"/>
    </row>
    <row r="176" spans="1:26" s="122" customFormat="1" ht="18" customHeight="1">
      <c r="A176" s="165">
        <f t="shared" si="27"/>
        <v>142</v>
      </c>
      <c r="B176" s="24" t="s">
        <v>22</v>
      </c>
      <c r="C176" s="148">
        <v>1978</v>
      </c>
      <c r="D176" s="51"/>
      <c r="E176" s="126">
        <v>4228.6000000000004</v>
      </c>
      <c r="F176" s="49">
        <v>3854.1</v>
      </c>
      <c r="G176" s="46">
        <f>SUM(H176:S176)</f>
        <v>2427180.66</v>
      </c>
      <c r="H176" s="46">
        <v>0</v>
      </c>
      <c r="I176" s="46"/>
      <c r="J176" s="46">
        <v>0</v>
      </c>
      <c r="K176" s="46">
        <v>2427180.66</v>
      </c>
      <c r="L176" s="46"/>
      <c r="M176" s="46">
        <v>0</v>
      </c>
      <c r="N176" s="46"/>
      <c r="O176" s="46">
        <v>0</v>
      </c>
      <c r="P176" s="46"/>
      <c r="Q176" s="46">
        <v>0</v>
      </c>
      <c r="R176" s="46"/>
      <c r="S176" s="46">
        <v>0</v>
      </c>
      <c r="T176" s="46">
        <v>0</v>
      </c>
      <c r="U176" s="46">
        <v>0</v>
      </c>
      <c r="V176" s="46">
        <v>0</v>
      </c>
      <c r="W176" s="46">
        <f>G176</f>
        <v>2427180.66</v>
      </c>
      <c r="X176" s="165">
        <v>2015</v>
      </c>
      <c r="Y176" s="165">
        <v>2015</v>
      </c>
      <c r="Z176" s="176"/>
    </row>
    <row r="177" spans="1:26" s="122" customFormat="1" ht="18" customHeight="1">
      <c r="A177" s="165">
        <f t="shared" si="27"/>
        <v>143</v>
      </c>
      <c r="B177" s="24" t="s">
        <v>183</v>
      </c>
      <c r="C177" s="148">
        <v>1952</v>
      </c>
      <c r="D177" s="51"/>
      <c r="E177" s="126">
        <v>3850.4</v>
      </c>
      <c r="F177" s="49">
        <v>3132.6</v>
      </c>
      <c r="G177" s="46">
        <f>SUM(H177:S177)</f>
        <v>4260621</v>
      </c>
      <c r="H177" s="46">
        <v>0</v>
      </c>
      <c r="I177" s="46"/>
      <c r="J177" s="46">
        <v>0</v>
      </c>
      <c r="K177" s="46">
        <v>4260621</v>
      </c>
      <c r="L177" s="46"/>
      <c r="M177" s="46">
        <v>0</v>
      </c>
      <c r="N177" s="46"/>
      <c r="O177" s="129">
        <v>0</v>
      </c>
      <c r="P177" s="129"/>
      <c r="Q177" s="129">
        <v>0</v>
      </c>
      <c r="R177" s="129"/>
      <c r="S177" s="129">
        <v>0</v>
      </c>
      <c r="T177" s="35">
        <v>0</v>
      </c>
      <c r="U177" s="35">
        <v>0</v>
      </c>
      <c r="V177" s="35">
        <v>0</v>
      </c>
      <c r="W177" s="46">
        <f>G177</f>
        <v>4260621</v>
      </c>
      <c r="X177" s="165">
        <v>2015</v>
      </c>
      <c r="Y177" s="165">
        <v>2015</v>
      </c>
      <c r="Z177" s="176"/>
    </row>
    <row r="178" spans="1:26" s="122" customFormat="1" ht="18" customHeight="1">
      <c r="A178" s="165">
        <f t="shared" si="27"/>
        <v>144</v>
      </c>
      <c r="B178" s="24" t="s">
        <v>184</v>
      </c>
      <c r="C178" s="148">
        <v>1969</v>
      </c>
      <c r="D178" s="51"/>
      <c r="E178" s="126">
        <v>2818.7</v>
      </c>
      <c r="F178" s="49">
        <v>2796.3</v>
      </c>
      <c r="G178" s="46">
        <f>SUM(H178:S178)</f>
        <v>2862300</v>
      </c>
      <c r="H178" s="46">
        <v>0</v>
      </c>
      <c r="I178" s="46"/>
      <c r="J178" s="46">
        <v>0</v>
      </c>
      <c r="K178" s="46">
        <v>2862300</v>
      </c>
      <c r="L178" s="46"/>
      <c r="M178" s="46">
        <v>0</v>
      </c>
      <c r="N178" s="46"/>
      <c r="O178" s="129">
        <v>0</v>
      </c>
      <c r="P178" s="129"/>
      <c r="Q178" s="129">
        <v>0</v>
      </c>
      <c r="R178" s="129"/>
      <c r="S178" s="129">
        <v>0</v>
      </c>
      <c r="T178" s="35">
        <v>0</v>
      </c>
      <c r="U178" s="35">
        <v>0</v>
      </c>
      <c r="V178" s="35">
        <v>0</v>
      </c>
      <c r="W178" s="46">
        <f>G178</f>
        <v>2862300</v>
      </c>
      <c r="X178" s="165">
        <v>2015</v>
      </c>
      <c r="Y178" s="165">
        <v>2015</v>
      </c>
      <c r="Z178" s="176"/>
    </row>
    <row r="179" spans="1:26" s="122" customFormat="1" ht="18" customHeight="1">
      <c r="A179" s="165">
        <f t="shared" si="27"/>
        <v>145</v>
      </c>
      <c r="B179" s="24" t="s">
        <v>561</v>
      </c>
      <c r="C179" s="148">
        <v>1989</v>
      </c>
      <c r="D179" s="51"/>
      <c r="E179" s="126">
        <v>3522.3</v>
      </c>
      <c r="F179" s="49">
        <v>3506.9</v>
      </c>
      <c r="G179" s="46">
        <f>SUM(H179:S179)</f>
        <v>1795000</v>
      </c>
      <c r="H179" s="46">
        <v>1795000</v>
      </c>
      <c r="I179" s="46"/>
      <c r="J179" s="46">
        <v>0</v>
      </c>
      <c r="K179" s="46">
        <v>0</v>
      </c>
      <c r="L179" s="46"/>
      <c r="M179" s="46">
        <v>0</v>
      </c>
      <c r="N179" s="46"/>
      <c r="O179" s="129">
        <v>0</v>
      </c>
      <c r="P179" s="129"/>
      <c r="Q179" s="129">
        <v>0</v>
      </c>
      <c r="R179" s="129"/>
      <c r="S179" s="129">
        <v>0</v>
      </c>
      <c r="T179" s="35">
        <v>0</v>
      </c>
      <c r="U179" s="35">
        <v>0</v>
      </c>
      <c r="V179" s="35">
        <v>0</v>
      </c>
      <c r="W179" s="46">
        <f>G179</f>
        <v>1795000</v>
      </c>
      <c r="X179" s="165">
        <v>2015</v>
      </c>
      <c r="Y179" s="165">
        <v>2015</v>
      </c>
      <c r="Z179" s="176"/>
    </row>
    <row r="180" spans="1:26" s="122" customFormat="1" ht="18" customHeight="1">
      <c r="A180" s="165">
        <f t="shared" ref="A180:A241" si="28">A179+1</f>
        <v>146</v>
      </c>
      <c r="B180" s="24" t="s">
        <v>562</v>
      </c>
      <c r="C180" s="148">
        <v>1984</v>
      </c>
      <c r="D180" s="51"/>
      <c r="E180" s="126">
        <v>3410.2</v>
      </c>
      <c r="F180" s="49">
        <v>3394</v>
      </c>
      <c r="G180" s="46">
        <f>SUM(H180:S180)</f>
        <v>1706000</v>
      </c>
      <c r="H180" s="46">
        <v>1706000</v>
      </c>
      <c r="I180" s="46"/>
      <c r="J180" s="46">
        <v>0</v>
      </c>
      <c r="K180" s="46">
        <v>0</v>
      </c>
      <c r="L180" s="46"/>
      <c r="M180" s="46">
        <v>0</v>
      </c>
      <c r="N180" s="46"/>
      <c r="O180" s="129">
        <v>0</v>
      </c>
      <c r="P180" s="129"/>
      <c r="Q180" s="129">
        <v>0</v>
      </c>
      <c r="R180" s="129"/>
      <c r="S180" s="129">
        <v>0</v>
      </c>
      <c r="T180" s="35">
        <v>0</v>
      </c>
      <c r="U180" s="35">
        <v>0</v>
      </c>
      <c r="V180" s="35">
        <v>0</v>
      </c>
      <c r="W180" s="46">
        <f>G180</f>
        <v>1706000</v>
      </c>
      <c r="X180" s="165">
        <v>2015</v>
      </c>
      <c r="Y180" s="165">
        <v>2015</v>
      </c>
      <c r="Z180" s="176"/>
    </row>
    <row r="181" spans="1:26" s="122" customFormat="1" ht="18" customHeight="1">
      <c r="A181" s="165">
        <f t="shared" si="28"/>
        <v>147</v>
      </c>
      <c r="B181" s="24" t="s">
        <v>563</v>
      </c>
      <c r="C181" s="148">
        <v>1985</v>
      </c>
      <c r="D181" s="51"/>
      <c r="E181" s="126">
        <v>3418.1</v>
      </c>
      <c r="F181" s="49">
        <v>3372.6</v>
      </c>
      <c r="G181" s="46">
        <f>SUM(H181:S181)</f>
        <v>1750000</v>
      </c>
      <c r="H181" s="46">
        <v>1750000</v>
      </c>
      <c r="I181" s="46"/>
      <c r="J181" s="46">
        <v>0</v>
      </c>
      <c r="K181" s="46">
        <v>0</v>
      </c>
      <c r="L181" s="46"/>
      <c r="M181" s="46">
        <v>0</v>
      </c>
      <c r="N181" s="46"/>
      <c r="O181" s="129">
        <v>0</v>
      </c>
      <c r="P181" s="129"/>
      <c r="Q181" s="129">
        <v>0</v>
      </c>
      <c r="R181" s="129"/>
      <c r="S181" s="129">
        <v>0</v>
      </c>
      <c r="T181" s="35">
        <v>0</v>
      </c>
      <c r="U181" s="35">
        <v>0</v>
      </c>
      <c r="V181" s="35">
        <v>0</v>
      </c>
      <c r="W181" s="46">
        <f>G181</f>
        <v>1750000</v>
      </c>
      <c r="X181" s="165">
        <v>2015</v>
      </c>
      <c r="Y181" s="165">
        <v>2015</v>
      </c>
      <c r="Z181" s="176"/>
    </row>
    <row r="182" spans="1:26" s="122" customFormat="1" ht="18" customHeight="1">
      <c r="A182" s="165">
        <f t="shared" si="28"/>
        <v>148</v>
      </c>
      <c r="B182" s="24" t="s">
        <v>570</v>
      </c>
      <c r="C182" s="148">
        <v>1971</v>
      </c>
      <c r="D182" s="180"/>
      <c r="E182" s="49">
        <v>1788.4</v>
      </c>
      <c r="F182" s="49">
        <v>1372.7</v>
      </c>
      <c r="G182" s="46">
        <f>H182+J182+K182+M182+O182+Q182+S182</f>
        <v>2189744.77</v>
      </c>
      <c r="H182" s="35">
        <v>0</v>
      </c>
      <c r="I182" s="35"/>
      <c r="J182" s="35">
        <v>0</v>
      </c>
      <c r="K182" s="46">
        <f>ROUND(F182*1595.21,2)</f>
        <v>2189744.77</v>
      </c>
      <c r="L182" s="35"/>
      <c r="M182" s="35">
        <v>0</v>
      </c>
      <c r="N182" s="35"/>
      <c r="O182" s="35">
        <v>0</v>
      </c>
      <c r="P182" s="35"/>
      <c r="Q182" s="35">
        <v>0</v>
      </c>
      <c r="R182" s="35"/>
      <c r="S182" s="35">
        <v>0</v>
      </c>
      <c r="T182" s="35">
        <v>0</v>
      </c>
      <c r="U182" s="35">
        <v>0</v>
      </c>
      <c r="V182" s="35">
        <v>0</v>
      </c>
      <c r="W182" s="46">
        <f>G182</f>
        <v>2189744.77</v>
      </c>
      <c r="X182" s="165">
        <v>2016</v>
      </c>
      <c r="Y182" s="165">
        <v>2016</v>
      </c>
      <c r="Z182" s="176">
        <f>Z109+1</f>
        <v>61</v>
      </c>
    </row>
    <row r="183" spans="1:26" s="122" customFormat="1" ht="18" customHeight="1">
      <c r="A183" s="165">
        <f t="shared" si="28"/>
        <v>149</v>
      </c>
      <c r="B183" s="24" t="s">
        <v>163</v>
      </c>
      <c r="C183" s="148">
        <v>1949</v>
      </c>
      <c r="D183" s="51"/>
      <c r="E183" s="126">
        <f>682.5+8</f>
        <v>690.5</v>
      </c>
      <c r="F183" s="49">
        <f>682.5</f>
        <v>682.5</v>
      </c>
      <c r="G183" s="46">
        <f>H183+J183+K183+M183+O183+Q183+S183</f>
        <v>98280</v>
      </c>
      <c r="H183" s="46">
        <v>0</v>
      </c>
      <c r="I183" s="46"/>
      <c r="J183" s="46">
        <v>0</v>
      </c>
      <c r="K183" s="46">
        <v>0</v>
      </c>
      <c r="L183" s="35">
        <f>K183/F183</f>
        <v>0</v>
      </c>
      <c r="M183" s="46">
        <v>0</v>
      </c>
      <c r="N183" s="46"/>
      <c r="O183" s="46">
        <v>0</v>
      </c>
      <c r="P183" s="46"/>
      <c r="Q183" s="46">
        <f>ROUND(682.5*144,2)</f>
        <v>98280</v>
      </c>
      <c r="R183" s="46">
        <f>Q183/F183</f>
        <v>144</v>
      </c>
      <c r="S183" s="46">
        <v>0</v>
      </c>
      <c r="T183" s="46">
        <v>0</v>
      </c>
      <c r="U183" s="46">
        <v>0</v>
      </c>
      <c r="V183" s="46">
        <v>0</v>
      </c>
      <c r="W183" s="46">
        <f>G183</f>
        <v>98280</v>
      </c>
      <c r="X183" s="165">
        <v>2015</v>
      </c>
      <c r="Y183" s="165">
        <v>2017</v>
      </c>
      <c r="Z183" s="176">
        <f>Z182+1</f>
        <v>62</v>
      </c>
    </row>
    <row r="184" spans="1:26" s="122" customFormat="1" ht="18" customHeight="1">
      <c r="A184" s="165">
        <f>A183+1</f>
        <v>150</v>
      </c>
      <c r="B184" s="24" t="s">
        <v>363</v>
      </c>
      <c r="C184" s="148">
        <v>1950</v>
      </c>
      <c r="D184" s="180"/>
      <c r="E184" s="49">
        <f>686.6+16.4</f>
        <v>703</v>
      </c>
      <c r="F184" s="49">
        <v>686.6</v>
      </c>
      <c r="G184" s="46">
        <f>H184+J184+K184+M184+O184+Q184+S184</f>
        <v>1700921.0499999998</v>
      </c>
      <c r="H184" s="35">
        <v>0</v>
      </c>
      <c r="I184" s="46"/>
      <c r="J184" s="35">
        <v>0</v>
      </c>
      <c r="K184" s="46">
        <v>1095271.19</v>
      </c>
      <c r="L184" s="35">
        <f>K184/F184</f>
        <v>1595.2100058258081</v>
      </c>
      <c r="M184" s="35">
        <v>0</v>
      </c>
      <c r="N184" s="35"/>
      <c r="O184" s="46">
        <f>ROUND(F184*882.1,2)</f>
        <v>605649.86</v>
      </c>
      <c r="P184" s="35">
        <f>O184/F184</f>
        <v>882.09999999999991</v>
      </c>
      <c r="Q184" s="35">
        <v>0</v>
      </c>
      <c r="R184" s="35"/>
      <c r="S184" s="35">
        <v>0</v>
      </c>
      <c r="T184" s="35">
        <v>0</v>
      </c>
      <c r="U184" s="35">
        <v>0</v>
      </c>
      <c r="V184" s="35">
        <v>0</v>
      </c>
      <c r="W184" s="46">
        <f>G184</f>
        <v>1700921.0499999998</v>
      </c>
      <c r="X184" s="165">
        <v>2016</v>
      </c>
      <c r="Y184" s="165">
        <v>2016</v>
      </c>
      <c r="Z184" s="176">
        <f t="shared" ref="Z184:Z247" si="29">Z183+1</f>
        <v>63</v>
      </c>
    </row>
    <row r="185" spans="1:26" s="122" customFormat="1" ht="18" customHeight="1">
      <c r="A185" s="165">
        <f t="shared" si="28"/>
        <v>151</v>
      </c>
      <c r="B185" s="24" t="s">
        <v>364</v>
      </c>
      <c r="C185" s="148">
        <v>1970</v>
      </c>
      <c r="D185" s="180"/>
      <c r="E185" s="49">
        <v>3456.9</v>
      </c>
      <c r="F185" s="49">
        <v>3412.6</v>
      </c>
      <c r="G185" s="46">
        <f>H185+J185+K185+M185+O185+Q185+S185</f>
        <v>733709</v>
      </c>
      <c r="H185" s="35">
        <v>733709</v>
      </c>
      <c r="I185" s="46">
        <f>H185/F185</f>
        <v>215</v>
      </c>
      <c r="J185" s="35">
        <v>0</v>
      </c>
      <c r="K185" s="35">
        <v>0</v>
      </c>
      <c r="L185" s="35">
        <f>K185/F185</f>
        <v>0</v>
      </c>
      <c r="M185" s="35">
        <v>0</v>
      </c>
      <c r="N185" s="35"/>
      <c r="O185" s="35">
        <v>0</v>
      </c>
      <c r="P185" s="35"/>
      <c r="Q185" s="35">
        <v>0</v>
      </c>
      <c r="R185" s="35"/>
      <c r="S185" s="35">
        <v>0</v>
      </c>
      <c r="T185" s="35">
        <v>0</v>
      </c>
      <c r="U185" s="35">
        <v>0</v>
      </c>
      <c r="V185" s="35">
        <v>0</v>
      </c>
      <c r="W185" s="46">
        <f>G185</f>
        <v>733709</v>
      </c>
      <c r="X185" s="165">
        <v>2016</v>
      </c>
      <c r="Y185" s="165">
        <v>2016</v>
      </c>
      <c r="Z185" s="176">
        <f t="shared" si="29"/>
        <v>64</v>
      </c>
    </row>
    <row r="186" spans="1:26" s="122" customFormat="1" ht="18" customHeight="1">
      <c r="A186" s="165">
        <f t="shared" si="28"/>
        <v>152</v>
      </c>
      <c r="B186" s="24" t="s">
        <v>649</v>
      </c>
      <c r="C186" s="148">
        <v>1974</v>
      </c>
      <c r="D186" s="165"/>
      <c r="E186" s="49">
        <v>3293.5</v>
      </c>
      <c r="F186" s="49">
        <v>2523.1</v>
      </c>
      <c r="G186" s="46">
        <f>H186+J186+K186+M186+O186+Q186+S186</f>
        <v>1734505.1</v>
      </c>
      <c r="H186" s="35">
        <f>ROUND((151+215+321.45)*F186,2)</f>
        <v>1734505.1</v>
      </c>
      <c r="I186" s="46">
        <f>H186/F186</f>
        <v>687.4500019816893</v>
      </c>
      <c r="J186" s="35">
        <v>0</v>
      </c>
      <c r="K186" s="35">
        <v>0</v>
      </c>
      <c r="L186" s="35">
        <f>K186/F186</f>
        <v>0</v>
      </c>
      <c r="M186" s="35">
        <v>0</v>
      </c>
      <c r="N186" s="35"/>
      <c r="O186" s="35">
        <v>0</v>
      </c>
      <c r="P186" s="35"/>
      <c r="Q186" s="35">
        <v>0</v>
      </c>
      <c r="R186" s="35"/>
      <c r="S186" s="35">
        <v>0</v>
      </c>
      <c r="T186" s="35">
        <v>0</v>
      </c>
      <c r="U186" s="35">
        <v>0</v>
      </c>
      <c r="V186" s="35">
        <v>1734505.1</v>
      </c>
      <c r="W186" s="46">
        <v>0</v>
      </c>
      <c r="X186" s="165">
        <v>2016</v>
      </c>
      <c r="Y186" s="165">
        <v>2016</v>
      </c>
      <c r="Z186" s="176">
        <f t="shared" si="29"/>
        <v>65</v>
      </c>
    </row>
    <row r="187" spans="1:26" s="122" customFormat="1" ht="18" customHeight="1">
      <c r="A187" s="165">
        <f t="shared" si="28"/>
        <v>153</v>
      </c>
      <c r="B187" s="24" t="s">
        <v>365</v>
      </c>
      <c r="C187" s="148">
        <v>1984</v>
      </c>
      <c r="D187" s="165"/>
      <c r="E187" s="49">
        <v>2959.5</v>
      </c>
      <c r="F187" s="49">
        <v>2893.1</v>
      </c>
      <c r="G187" s="46">
        <f>H187+J187+K187+M187+O187+Q187+S187</f>
        <v>2645855.67</v>
      </c>
      <c r="H187" s="35">
        <v>0</v>
      </c>
      <c r="I187" s="35"/>
      <c r="J187" s="35">
        <v>0</v>
      </c>
      <c r="K187" s="46">
        <v>2645855.67</v>
      </c>
      <c r="L187" s="35">
        <f>K187/F187</f>
        <v>914.53999861739999</v>
      </c>
      <c r="M187" s="35">
        <v>0</v>
      </c>
      <c r="N187" s="35"/>
      <c r="O187" s="35">
        <v>0</v>
      </c>
      <c r="P187" s="35"/>
      <c r="Q187" s="35">
        <v>0</v>
      </c>
      <c r="R187" s="35"/>
      <c r="S187" s="35">
        <v>0</v>
      </c>
      <c r="T187" s="35">
        <v>0</v>
      </c>
      <c r="U187" s="35">
        <v>0</v>
      </c>
      <c r="V187" s="35">
        <v>0</v>
      </c>
      <c r="W187" s="46">
        <f>G187</f>
        <v>2645855.67</v>
      </c>
      <c r="X187" s="165">
        <v>2016</v>
      </c>
      <c r="Y187" s="165">
        <v>2016</v>
      </c>
      <c r="Z187" s="176">
        <f t="shared" si="29"/>
        <v>66</v>
      </c>
    </row>
    <row r="188" spans="1:26" s="122" customFormat="1" ht="18" customHeight="1">
      <c r="A188" s="165">
        <f t="shared" si="28"/>
        <v>154</v>
      </c>
      <c r="B188" s="24" t="s">
        <v>366</v>
      </c>
      <c r="C188" s="148">
        <v>1960</v>
      </c>
      <c r="D188" s="180"/>
      <c r="E188" s="49">
        <v>1597</v>
      </c>
      <c r="F188" s="49">
        <v>1140</v>
      </c>
      <c r="G188" s="46">
        <f>H188+J188+K188+M188+O188+Q188+S188</f>
        <v>1233480</v>
      </c>
      <c r="H188" s="35">
        <v>0</v>
      </c>
      <c r="I188" s="35"/>
      <c r="J188" s="35">
        <v>0</v>
      </c>
      <c r="K188" s="35">
        <v>0</v>
      </c>
      <c r="L188" s="35">
        <f>K188/F188</f>
        <v>0</v>
      </c>
      <c r="M188" s="35">
        <v>0</v>
      </c>
      <c r="N188" s="35"/>
      <c r="O188" s="46">
        <f>F188*1082-S188</f>
        <v>1159471.2</v>
      </c>
      <c r="P188" s="35">
        <f>O188/F188</f>
        <v>1017.0799999999999</v>
      </c>
      <c r="Q188" s="35">
        <v>0</v>
      </c>
      <c r="R188" s="35"/>
      <c r="S188" s="35">
        <v>74008.800000000003</v>
      </c>
      <c r="T188" s="35">
        <v>0</v>
      </c>
      <c r="U188" s="35">
        <v>0</v>
      </c>
      <c r="V188" s="35">
        <v>0</v>
      </c>
      <c r="W188" s="46">
        <f>G188</f>
        <v>1233480</v>
      </c>
      <c r="X188" s="165">
        <v>2016</v>
      </c>
      <c r="Y188" s="165">
        <v>2017</v>
      </c>
      <c r="Z188" s="176">
        <f t="shared" si="29"/>
        <v>67</v>
      </c>
    </row>
    <row r="189" spans="1:26" s="122" customFormat="1" ht="18" customHeight="1">
      <c r="A189" s="165">
        <f t="shared" si="28"/>
        <v>155</v>
      </c>
      <c r="B189" s="24" t="s">
        <v>367</v>
      </c>
      <c r="C189" s="148">
        <v>1964</v>
      </c>
      <c r="D189" s="180"/>
      <c r="E189" s="49">
        <v>2952.4</v>
      </c>
      <c r="F189" s="49">
        <v>2501</v>
      </c>
      <c r="G189" s="46">
        <f>H189+J189+K189+M189+O189+Q189+S189</f>
        <v>2706082</v>
      </c>
      <c r="H189" s="35">
        <v>0</v>
      </c>
      <c r="I189" s="35"/>
      <c r="J189" s="35">
        <v>0</v>
      </c>
      <c r="K189" s="35">
        <v>0</v>
      </c>
      <c r="L189" s="35">
        <f>K189/F189</f>
        <v>0</v>
      </c>
      <c r="M189" s="35">
        <v>0</v>
      </c>
      <c r="N189" s="35"/>
      <c r="O189" s="46">
        <f>F189*1082-S189</f>
        <v>2597500.7599999998</v>
      </c>
      <c r="P189" s="35">
        <f>O189/F189</f>
        <v>1038.5848700519791</v>
      </c>
      <c r="Q189" s="35">
        <v>0</v>
      </c>
      <c r="R189" s="35"/>
      <c r="S189" s="35">
        <v>108581.24</v>
      </c>
      <c r="T189" s="35">
        <v>0</v>
      </c>
      <c r="U189" s="35">
        <v>0</v>
      </c>
      <c r="V189" s="35">
        <v>0</v>
      </c>
      <c r="W189" s="46">
        <f>G189</f>
        <v>2706082</v>
      </c>
      <c r="X189" s="165">
        <v>2016</v>
      </c>
      <c r="Y189" s="165">
        <v>2017</v>
      </c>
      <c r="Z189" s="176">
        <f t="shared" si="29"/>
        <v>68</v>
      </c>
    </row>
    <row r="190" spans="1:26" s="122" customFormat="1" ht="18" customHeight="1">
      <c r="A190" s="165">
        <f t="shared" si="28"/>
        <v>156</v>
      </c>
      <c r="B190" s="24" t="s">
        <v>619</v>
      </c>
      <c r="C190" s="148">
        <v>1959</v>
      </c>
      <c r="D190" s="51"/>
      <c r="E190" s="126">
        <v>5782.8</v>
      </c>
      <c r="F190" s="49">
        <v>4186.3</v>
      </c>
      <c r="G190" s="46">
        <f>H190+J190+K190+M190+O190+Q190+S190</f>
        <v>11750525.469999999</v>
      </c>
      <c r="H190" s="46">
        <v>0</v>
      </c>
      <c r="I190" s="46"/>
      <c r="J190" s="46">
        <v>0</v>
      </c>
      <c r="K190" s="46">
        <f>ROUND(4186.3*1724.9,2)</f>
        <v>7220948.8700000001</v>
      </c>
      <c r="L190" s="35">
        <f>K190/F190</f>
        <v>1724.8999999999999</v>
      </c>
      <c r="M190" s="46">
        <v>0</v>
      </c>
      <c r="N190" s="46"/>
      <c r="O190" s="46">
        <f>ROUND(4186.3*1082,2)</f>
        <v>4529576.5999999996</v>
      </c>
      <c r="P190" s="35">
        <f>O190/F190</f>
        <v>1081.9999999999998</v>
      </c>
      <c r="Q190" s="46">
        <v>0</v>
      </c>
      <c r="R190" s="46"/>
      <c r="S190" s="46">
        <v>0</v>
      </c>
      <c r="T190" s="46">
        <v>0</v>
      </c>
      <c r="U190" s="46">
        <v>0</v>
      </c>
      <c r="V190" s="46">
        <v>0</v>
      </c>
      <c r="W190" s="46">
        <f>G190</f>
        <v>11750525.469999999</v>
      </c>
      <c r="X190" s="165">
        <v>2015</v>
      </c>
      <c r="Y190" s="165">
        <v>2017</v>
      </c>
      <c r="Z190" s="176">
        <f t="shared" si="29"/>
        <v>69</v>
      </c>
    </row>
    <row r="191" spans="1:26" s="122" customFormat="1" ht="18" customHeight="1">
      <c r="A191" s="165">
        <f t="shared" si="28"/>
        <v>157</v>
      </c>
      <c r="B191" s="24" t="s">
        <v>368</v>
      </c>
      <c r="C191" s="148">
        <v>1967</v>
      </c>
      <c r="D191" s="180"/>
      <c r="E191" s="49">
        <v>5793.9</v>
      </c>
      <c r="F191" s="49">
        <v>5118.3</v>
      </c>
      <c r="G191" s="46">
        <f>H191+J191+K191+M191+O191+Q191+S191</f>
        <v>1483897.54</v>
      </c>
      <c r="H191" s="35">
        <v>0</v>
      </c>
      <c r="I191" s="35"/>
      <c r="J191" s="35">
        <v>0</v>
      </c>
      <c r="K191" s="35">
        <v>0</v>
      </c>
      <c r="L191" s="35">
        <f>K191/F191</f>
        <v>0</v>
      </c>
      <c r="M191" s="35">
        <v>0</v>
      </c>
      <c r="N191" s="35"/>
      <c r="O191" s="46">
        <f>ROUND(F191*289.92,2)-S191</f>
        <v>1394863.69</v>
      </c>
      <c r="P191" s="35">
        <f>O191/F191</f>
        <v>272.52480120352459</v>
      </c>
      <c r="Q191" s="35">
        <v>0</v>
      </c>
      <c r="R191" s="35"/>
      <c r="S191" s="35">
        <v>89033.85</v>
      </c>
      <c r="T191" s="35">
        <v>0</v>
      </c>
      <c r="U191" s="35">
        <v>0</v>
      </c>
      <c r="V191" s="35">
        <v>0</v>
      </c>
      <c r="W191" s="46">
        <f>G191</f>
        <v>1483897.54</v>
      </c>
      <c r="X191" s="165">
        <v>2016</v>
      </c>
      <c r="Y191" s="165">
        <v>2017</v>
      </c>
      <c r="Z191" s="176">
        <f t="shared" si="29"/>
        <v>70</v>
      </c>
    </row>
    <row r="192" spans="1:26" s="122" customFormat="1" ht="18" customHeight="1">
      <c r="A192" s="165">
        <f t="shared" si="28"/>
        <v>158</v>
      </c>
      <c r="B192" s="24" t="s">
        <v>369</v>
      </c>
      <c r="C192" s="148">
        <v>1965</v>
      </c>
      <c r="D192" s="180"/>
      <c r="E192" s="49">
        <v>3094</v>
      </c>
      <c r="F192" s="49">
        <v>2056.6</v>
      </c>
      <c r="G192" s="46">
        <f>H192+J192+K192+M192+O192+Q192+S192</f>
        <v>2225241.1999999997</v>
      </c>
      <c r="H192" s="35">
        <v>0</v>
      </c>
      <c r="I192" s="35"/>
      <c r="J192" s="35">
        <v>0</v>
      </c>
      <c r="K192" s="35">
        <v>0</v>
      </c>
      <c r="L192" s="35">
        <f>K192/F192</f>
        <v>0</v>
      </c>
      <c r="M192" s="35">
        <v>0</v>
      </c>
      <c r="N192" s="35"/>
      <c r="O192" s="46">
        <f>F192*1082-S192</f>
        <v>2092777.9399999997</v>
      </c>
      <c r="P192" s="35">
        <f>O192/F192</f>
        <v>1017.5911407176893</v>
      </c>
      <c r="Q192" s="35">
        <v>0</v>
      </c>
      <c r="R192" s="35"/>
      <c r="S192" s="35">
        <v>132463.26</v>
      </c>
      <c r="T192" s="35">
        <v>0</v>
      </c>
      <c r="U192" s="35">
        <v>0</v>
      </c>
      <c r="V192" s="35">
        <v>0</v>
      </c>
      <c r="W192" s="46">
        <f>G192</f>
        <v>2225241.1999999997</v>
      </c>
      <c r="X192" s="165">
        <v>2016</v>
      </c>
      <c r="Y192" s="165">
        <v>2017</v>
      </c>
      <c r="Z192" s="176">
        <f t="shared" si="29"/>
        <v>71</v>
      </c>
    </row>
    <row r="193" spans="1:26" s="122" customFormat="1" ht="18" customHeight="1">
      <c r="A193" s="165">
        <f t="shared" si="28"/>
        <v>159</v>
      </c>
      <c r="B193" s="24" t="s">
        <v>647</v>
      </c>
      <c r="C193" s="148">
        <v>1973</v>
      </c>
      <c r="D193" s="51"/>
      <c r="E193" s="126">
        <v>2877.9</v>
      </c>
      <c r="F193" s="49">
        <v>2776.5</v>
      </c>
      <c r="G193" s="46">
        <f>H193+J193+K193+M193+O193+Q193+S193</f>
        <v>2469752.2799999998</v>
      </c>
      <c r="H193" s="46">
        <v>0</v>
      </c>
      <c r="I193" s="46"/>
      <c r="J193" s="46">
        <v>0</v>
      </c>
      <c r="K193" s="46">
        <v>0</v>
      </c>
      <c r="L193" s="35">
        <f>K193/F193</f>
        <v>0</v>
      </c>
      <c r="M193" s="46">
        <v>0</v>
      </c>
      <c r="N193" s="46"/>
      <c r="O193" s="46">
        <f>ROUND(2776.5*889.52,2)</f>
        <v>2469752.2799999998</v>
      </c>
      <c r="P193" s="35">
        <f>O193/F193</f>
        <v>889.52</v>
      </c>
      <c r="Q193" s="46">
        <v>0</v>
      </c>
      <c r="R193" s="46"/>
      <c r="S193" s="46">
        <v>0</v>
      </c>
      <c r="T193" s="46">
        <v>0</v>
      </c>
      <c r="U193" s="46">
        <v>0</v>
      </c>
      <c r="V193" s="46">
        <v>0</v>
      </c>
      <c r="W193" s="46">
        <f>G193</f>
        <v>2469752.2799999998</v>
      </c>
      <c r="X193" s="165">
        <v>2015</v>
      </c>
      <c r="Y193" s="165">
        <v>2017</v>
      </c>
      <c r="Z193" s="176">
        <f t="shared" si="29"/>
        <v>72</v>
      </c>
    </row>
    <row r="194" spans="1:26" s="122" customFormat="1" ht="18" customHeight="1">
      <c r="A194" s="165">
        <f t="shared" si="28"/>
        <v>160</v>
      </c>
      <c r="B194" s="24" t="s">
        <v>370</v>
      </c>
      <c r="C194" s="148">
        <v>1938</v>
      </c>
      <c r="D194" s="180" t="s">
        <v>596</v>
      </c>
      <c r="E194" s="49">
        <v>1854.2</v>
      </c>
      <c r="F194" s="49">
        <v>1225.5</v>
      </c>
      <c r="G194" s="46">
        <f>H194+J194+K194+M194+O194+Q194+S194</f>
        <v>2864949.39</v>
      </c>
      <c r="H194" s="35">
        <v>0</v>
      </c>
      <c r="I194" s="35"/>
      <c r="J194" s="35">
        <v>0</v>
      </c>
      <c r="K194" s="35">
        <v>0</v>
      </c>
      <c r="L194" s="35">
        <f>K194/F194</f>
        <v>0</v>
      </c>
      <c r="M194" s="35">
        <v>0</v>
      </c>
      <c r="N194" s="35"/>
      <c r="O194" s="46">
        <v>2864949.39</v>
      </c>
      <c r="P194" s="35">
        <f>O194/F194</f>
        <v>2337.7800000000002</v>
      </c>
      <c r="Q194" s="35">
        <v>0</v>
      </c>
      <c r="R194" s="35"/>
      <c r="S194" s="35">
        <v>0</v>
      </c>
      <c r="T194" s="35">
        <v>0</v>
      </c>
      <c r="U194" s="35">
        <v>0</v>
      </c>
      <c r="V194" s="35">
        <v>0</v>
      </c>
      <c r="W194" s="46">
        <f>G194</f>
        <v>2864949.39</v>
      </c>
      <c r="X194" s="165">
        <v>2016</v>
      </c>
      <c r="Y194" s="165">
        <v>2017</v>
      </c>
      <c r="Z194" s="176">
        <f t="shared" si="29"/>
        <v>73</v>
      </c>
    </row>
    <row r="195" spans="1:26" s="122" customFormat="1" ht="18" customHeight="1">
      <c r="A195" s="165">
        <f t="shared" si="28"/>
        <v>161</v>
      </c>
      <c r="B195" s="24" t="s">
        <v>513</v>
      </c>
      <c r="C195" s="148">
        <v>1933</v>
      </c>
      <c r="D195" s="180" t="s">
        <v>596</v>
      </c>
      <c r="E195" s="126">
        <v>5749.4</v>
      </c>
      <c r="F195" s="49">
        <v>3766.8</v>
      </c>
      <c r="G195" s="46">
        <f>H195+J195+K195+M195+O195+Q195+S195</f>
        <v>8805949.6999999993</v>
      </c>
      <c r="H195" s="46">
        <v>0</v>
      </c>
      <c r="I195" s="46"/>
      <c r="J195" s="46">
        <v>0</v>
      </c>
      <c r="K195" s="46">
        <v>0</v>
      </c>
      <c r="L195" s="35">
        <f>K195/F195</f>
        <v>0</v>
      </c>
      <c r="M195" s="46">
        <v>0</v>
      </c>
      <c r="N195" s="46"/>
      <c r="O195" s="46">
        <f>ROUND(3766.8*2337.78,2)</f>
        <v>8805949.6999999993</v>
      </c>
      <c r="P195" s="35">
        <f>O195/F195</f>
        <v>2337.7799989380906</v>
      </c>
      <c r="Q195" s="46">
        <v>0</v>
      </c>
      <c r="R195" s="46"/>
      <c r="S195" s="46">
        <v>0</v>
      </c>
      <c r="T195" s="46">
        <v>0</v>
      </c>
      <c r="U195" s="46">
        <v>0</v>
      </c>
      <c r="V195" s="46">
        <v>0</v>
      </c>
      <c r="W195" s="46">
        <f>G195</f>
        <v>8805949.6999999993</v>
      </c>
      <c r="X195" s="165">
        <v>2015</v>
      </c>
      <c r="Y195" s="165">
        <v>2017</v>
      </c>
      <c r="Z195" s="176">
        <f t="shared" si="29"/>
        <v>74</v>
      </c>
    </row>
    <row r="196" spans="1:26" s="122" customFormat="1" ht="18" customHeight="1">
      <c r="A196" s="165">
        <f t="shared" si="28"/>
        <v>162</v>
      </c>
      <c r="B196" s="24" t="s">
        <v>514</v>
      </c>
      <c r="C196" s="148">
        <v>1939</v>
      </c>
      <c r="D196" s="180" t="s">
        <v>596</v>
      </c>
      <c r="E196" s="126">
        <v>9040.7999999999993</v>
      </c>
      <c r="F196" s="49">
        <v>6313.3</v>
      </c>
      <c r="G196" s="46">
        <f>H196+J196+K196+M196+O196+Q196+S196</f>
        <v>14706706.08</v>
      </c>
      <c r="H196" s="46">
        <v>0</v>
      </c>
      <c r="I196" s="46"/>
      <c r="J196" s="46">
        <v>0</v>
      </c>
      <c r="K196" s="46">
        <v>0</v>
      </c>
      <c r="L196" s="35">
        <f>K196/F196</f>
        <v>0</v>
      </c>
      <c r="M196" s="46">
        <v>0</v>
      </c>
      <c r="N196" s="46"/>
      <c r="O196" s="46">
        <f>ROUND(6313.3*2329.48,2)</f>
        <v>14706706.08</v>
      </c>
      <c r="P196" s="35">
        <f>O196/F196</f>
        <v>2329.4799993664169</v>
      </c>
      <c r="Q196" s="46">
        <v>0</v>
      </c>
      <c r="R196" s="46"/>
      <c r="S196" s="46">
        <v>0</v>
      </c>
      <c r="T196" s="46">
        <v>0</v>
      </c>
      <c r="U196" s="46">
        <v>0</v>
      </c>
      <c r="V196" s="46">
        <v>0</v>
      </c>
      <c r="W196" s="46">
        <f>G196</f>
        <v>14706706.08</v>
      </c>
      <c r="X196" s="165">
        <v>2015</v>
      </c>
      <c r="Y196" s="165">
        <v>2017</v>
      </c>
      <c r="Z196" s="176">
        <f t="shared" si="29"/>
        <v>75</v>
      </c>
    </row>
    <row r="197" spans="1:26" s="122" customFormat="1" ht="18" customHeight="1">
      <c r="A197" s="165">
        <f t="shared" si="28"/>
        <v>163</v>
      </c>
      <c r="B197" s="24" t="s">
        <v>606</v>
      </c>
      <c r="C197" s="148">
        <v>1941</v>
      </c>
      <c r="D197" s="180"/>
      <c r="E197" s="49">
        <v>2675</v>
      </c>
      <c r="F197" s="49">
        <v>2002.8</v>
      </c>
      <c r="G197" s="46">
        <f>H197+J197+K197+M197+O197+Q197+S197</f>
        <v>5621659.3200000003</v>
      </c>
      <c r="H197" s="35">
        <v>0</v>
      </c>
      <c r="I197" s="35"/>
      <c r="J197" s="35">
        <v>0</v>
      </c>
      <c r="K197" s="46">
        <f>F197*1724.9</f>
        <v>3454629.72</v>
      </c>
      <c r="L197" s="35">
        <f>K197/F197</f>
        <v>1724.9</v>
      </c>
      <c r="M197" s="35">
        <v>0</v>
      </c>
      <c r="N197" s="35"/>
      <c r="O197" s="46">
        <f>F197*1082</f>
        <v>2167029.6</v>
      </c>
      <c r="P197" s="35">
        <f>O197/F197</f>
        <v>1082</v>
      </c>
      <c r="Q197" s="35">
        <v>0</v>
      </c>
      <c r="R197" s="35"/>
      <c r="S197" s="35">
        <v>0</v>
      </c>
      <c r="T197" s="35">
        <v>0</v>
      </c>
      <c r="U197" s="35">
        <v>0</v>
      </c>
      <c r="V197" s="35">
        <v>0</v>
      </c>
      <c r="W197" s="46">
        <f>G197</f>
        <v>5621659.3200000003</v>
      </c>
      <c r="X197" s="165">
        <v>2016</v>
      </c>
      <c r="Y197" s="165">
        <v>2017</v>
      </c>
      <c r="Z197" s="176">
        <f t="shared" si="29"/>
        <v>76</v>
      </c>
    </row>
    <row r="198" spans="1:26" s="122" customFormat="1" ht="18" customHeight="1">
      <c r="A198" s="165">
        <f t="shared" si="28"/>
        <v>164</v>
      </c>
      <c r="B198" s="24" t="s">
        <v>371</v>
      </c>
      <c r="C198" s="148">
        <v>1938</v>
      </c>
      <c r="D198" s="180" t="s">
        <v>596</v>
      </c>
      <c r="E198" s="49">
        <v>9703.7000000000007</v>
      </c>
      <c r="F198" s="49">
        <v>7774.5</v>
      </c>
      <c r="G198" s="46">
        <f>H198+J198+K198+M198+O198+Q198+S198</f>
        <v>18110542.260000002</v>
      </c>
      <c r="H198" s="35">
        <v>0</v>
      </c>
      <c r="I198" s="35"/>
      <c r="J198" s="35">
        <v>0</v>
      </c>
      <c r="K198" s="35">
        <v>0</v>
      </c>
      <c r="L198" s="35">
        <f>K198/F198</f>
        <v>0</v>
      </c>
      <c r="M198" s="35">
        <v>0</v>
      </c>
      <c r="N198" s="35"/>
      <c r="O198" s="46">
        <f>ROUND(7774.5*2329.48,2)</f>
        <v>18110542.260000002</v>
      </c>
      <c r="P198" s="35">
        <f>O198/F198</f>
        <v>2329.48</v>
      </c>
      <c r="Q198" s="35">
        <v>0</v>
      </c>
      <c r="R198" s="35"/>
      <c r="S198" s="35">
        <v>0</v>
      </c>
      <c r="T198" s="35">
        <v>0</v>
      </c>
      <c r="U198" s="35">
        <v>0</v>
      </c>
      <c r="V198" s="35">
        <v>0</v>
      </c>
      <c r="W198" s="46">
        <f>G198</f>
        <v>18110542.260000002</v>
      </c>
      <c r="X198" s="165">
        <v>2016</v>
      </c>
      <c r="Y198" s="165">
        <v>2017</v>
      </c>
      <c r="Z198" s="176">
        <f t="shared" si="29"/>
        <v>77</v>
      </c>
    </row>
    <row r="199" spans="1:26" s="122" customFormat="1" ht="18" customHeight="1">
      <c r="A199" s="165">
        <f t="shared" si="28"/>
        <v>165</v>
      </c>
      <c r="B199" s="24" t="s">
        <v>515</v>
      </c>
      <c r="C199" s="148">
        <v>1938</v>
      </c>
      <c r="D199" s="51" t="s">
        <v>596</v>
      </c>
      <c r="E199" s="126">
        <v>9594.7000000000007</v>
      </c>
      <c r="F199" s="49">
        <v>7384.7</v>
      </c>
      <c r="G199" s="46">
        <f>H199+J199+K199+M199+O199+Q199+S199</f>
        <v>7270089.46</v>
      </c>
      <c r="H199" s="46">
        <v>0</v>
      </c>
      <c r="I199" s="46"/>
      <c r="J199" s="46">
        <v>0</v>
      </c>
      <c r="K199" s="172">
        <f>ROUND(7384.7*984.48,2)</f>
        <v>7270089.46</v>
      </c>
      <c r="L199" s="35">
        <f>K199/F199</f>
        <v>984.4800005416605</v>
      </c>
      <c r="M199" s="46">
        <v>0</v>
      </c>
      <c r="N199" s="46"/>
      <c r="O199" s="46">
        <v>0</v>
      </c>
      <c r="P199" s="46"/>
      <c r="Q199" s="46">
        <v>0</v>
      </c>
      <c r="R199" s="46"/>
      <c r="S199" s="46">
        <v>0</v>
      </c>
      <c r="T199" s="46">
        <v>0</v>
      </c>
      <c r="U199" s="46">
        <v>0</v>
      </c>
      <c r="V199" s="46">
        <v>0</v>
      </c>
      <c r="W199" s="46">
        <f>G199</f>
        <v>7270089.46</v>
      </c>
      <c r="X199" s="165">
        <v>2015</v>
      </c>
      <c r="Y199" s="165">
        <v>2017</v>
      </c>
      <c r="Z199" s="176">
        <f t="shared" si="29"/>
        <v>78</v>
      </c>
    </row>
    <row r="200" spans="1:26" s="122" customFormat="1" ht="18" customHeight="1">
      <c r="A200" s="165">
        <f t="shared" si="28"/>
        <v>166</v>
      </c>
      <c r="B200" s="24" t="s">
        <v>372</v>
      </c>
      <c r="C200" s="148">
        <v>1934</v>
      </c>
      <c r="D200" s="180" t="s">
        <v>596</v>
      </c>
      <c r="E200" s="49">
        <v>4133.3999999999996</v>
      </c>
      <c r="F200" s="49">
        <v>3077.1</v>
      </c>
      <c r="G200" s="46">
        <f>H200+J200+K200+M200+O200+Q200+S200</f>
        <v>4908620.6900000004</v>
      </c>
      <c r="H200" s="35">
        <v>0</v>
      </c>
      <c r="I200" s="35"/>
      <c r="J200" s="35">
        <v>0</v>
      </c>
      <c r="K200" s="46">
        <v>4908620.6900000004</v>
      </c>
      <c r="L200" s="35">
        <f>K200/F200</f>
        <v>1595.2099996750189</v>
      </c>
      <c r="M200" s="35">
        <v>0</v>
      </c>
      <c r="N200" s="35"/>
      <c r="O200" s="35">
        <v>0</v>
      </c>
      <c r="P200" s="35">
        <f>O200/F200</f>
        <v>0</v>
      </c>
      <c r="Q200" s="35">
        <v>0</v>
      </c>
      <c r="R200" s="35"/>
      <c r="S200" s="35">
        <v>0</v>
      </c>
      <c r="T200" s="35">
        <v>0</v>
      </c>
      <c r="U200" s="35">
        <v>0</v>
      </c>
      <c r="V200" s="35">
        <v>0</v>
      </c>
      <c r="W200" s="46">
        <f>G200</f>
        <v>4908620.6900000004</v>
      </c>
      <c r="X200" s="165">
        <v>2016</v>
      </c>
      <c r="Y200" s="165">
        <v>2017</v>
      </c>
      <c r="Z200" s="176">
        <f t="shared" si="29"/>
        <v>79</v>
      </c>
    </row>
    <row r="201" spans="1:26" s="122" customFormat="1" ht="15.75">
      <c r="A201" s="165">
        <f t="shared" si="28"/>
        <v>167</v>
      </c>
      <c r="B201" s="24" t="s">
        <v>373</v>
      </c>
      <c r="C201" s="148">
        <v>1939</v>
      </c>
      <c r="D201" s="180" t="s">
        <v>596</v>
      </c>
      <c r="E201" s="49">
        <v>10520</v>
      </c>
      <c r="F201" s="49">
        <v>7367</v>
      </c>
      <c r="G201" s="46">
        <f>H201+J201+K201+M201+O201+Q201+S201</f>
        <v>17161279.16</v>
      </c>
      <c r="H201" s="35">
        <v>0</v>
      </c>
      <c r="I201" s="35"/>
      <c r="J201" s="35">
        <v>0</v>
      </c>
      <c r="K201" s="35">
        <v>0</v>
      </c>
      <c r="L201" s="35">
        <f>K201/F201</f>
        <v>0</v>
      </c>
      <c r="M201" s="35">
        <v>0</v>
      </c>
      <c r="N201" s="35"/>
      <c r="O201" s="46">
        <f>ROUND(7367*2329.48,2)</f>
        <v>17161279.16</v>
      </c>
      <c r="P201" s="35">
        <f>O201/F201</f>
        <v>2329.48</v>
      </c>
      <c r="Q201" s="35">
        <v>0</v>
      </c>
      <c r="R201" s="35"/>
      <c r="S201" s="35">
        <v>0</v>
      </c>
      <c r="T201" s="35">
        <v>0</v>
      </c>
      <c r="U201" s="35">
        <v>0</v>
      </c>
      <c r="V201" s="35">
        <v>0</v>
      </c>
      <c r="W201" s="46">
        <f>G201</f>
        <v>17161279.16</v>
      </c>
      <c r="X201" s="165">
        <v>2016</v>
      </c>
      <c r="Y201" s="165">
        <v>2017</v>
      </c>
      <c r="Z201" s="176">
        <f t="shared" si="29"/>
        <v>80</v>
      </c>
    </row>
    <row r="202" spans="1:26" s="122" customFormat="1" ht="18" customHeight="1">
      <c r="A202" s="165">
        <f t="shared" si="28"/>
        <v>168</v>
      </c>
      <c r="B202" s="24" t="s">
        <v>516</v>
      </c>
      <c r="C202" s="148">
        <v>1950</v>
      </c>
      <c r="D202" s="51" t="s">
        <v>596</v>
      </c>
      <c r="E202" s="126">
        <v>2796.8</v>
      </c>
      <c r="F202" s="49">
        <v>1958.8</v>
      </c>
      <c r="G202" s="46">
        <f>H202+J202+K202+M202+O202+Q202+S202</f>
        <v>7703940.8100000005</v>
      </c>
      <c r="H202" s="46">
        <v>0</v>
      </c>
      <c r="I202" s="46"/>
      <c r="J202" s="46">
        <v>0</v>
      </c>
      <c r="K202" s="46">
        <f>ROUND(1958.8*1595.21,2)</f>
        <v>3124697.35</v>
      </c>
      <c r="L202" s="35">
        <f>K202/F202</f>
        <v>1595.2100010210333</v>
      </c>
      <c r="M202" s="46">
        <v>0</v>
      </c>
      <c r="N202" s="46"/>
      <c r="O202" s="46">
        <f>ROUND(1958.8*2337.78,2)</f>
        <v>4579243.46</v>
      </c>
      <c r="P202" s="35">
        <f>O202/F202</f>
        <v>2337.7799979579336</v>
      </c>
      <c r="Q202" s="46">
        <v>0</v>
      </c>
      <c r="R202" s="46"/>
      <c r="S202" s="46">
        <v>0</v>
      </c>
      <c r="T202" s="46">
        <v>0</v>
      </c>
      <c r="U202" s="46">
        <v>0</v>
      </c>
      <c r="V202" s="46">
        <v>0</v>
      </c>
      <c r="W202" s="46">
        <f>G202</f>
        <v>7703940.8100000005</v>
      </c>
      <c r="X202" s="165">
        <v>2015</v>
      </c>
      <c r="Y202" s="165">
        <v>2017</v>
      </c>
      <c r="Z202" s="176">
        <f t="shared" si="29"/>
        <v>81</v>
      </c>
    </row>
    <row r="203" spans="1:26" s="122" customFormat="1" ht="15.75">
      <c r="A203" s="165">
        <f t="shared" si="28"/>
        <v>169</v>
      </c>
      <c r="B203" s="24" t="s">
        <v>517</v>
      </c>
      <c r="C203" s="148">
        <v>1951</v>
      </c>
      <c r="D203" s="51" t="s">
        <v>596</v>
      </c>
      <c r="E203" s="126">
        <v>9390.9</v>
      </c>
      <c r="F203" s="49">
        <v>6593.4</v>
      </c>
      <c r="G203" s="46">
        <f>H203+J203+K203+M203+O203+Q203+S203</f>
        <v>15413918.65</v>
      </c>
      <c r="H203" s="46">
        <v>0</v>
      </c>
      <c r="I203" s="46"/>
      <c r="J203" s="46">
        <v>0</v>
      </c>
      <c r="K203" s="46">
        <v>0</v>
      </c>
      <c r="L203" s="35">
        <f>K203/F203</f>
        <v>0</v>
      </c>
      <c r="M203" s="46">
        <v>0</v>
      </c>
      <c r="N203" s="46"/>
      <c r="O203" s="46">
        <f>ROUND(6593.4*2337.78,2)</f>
        <v>15413918.65</v>
      </c>
      <c r="P203" s="35">
        <f>O203/F203</f>
        <v>2337.7799996966664</v>
      </c>
      <c r="Q203" s="46">
        <v>0</v>
      </c>
      <c r="R203" s="46"/>
      <c r="S203" s="46">
        <v>0</v>
      </c>
      <c r="T203" s="46">
        <v>0</v>
      </c>
      <c r="U203" s="46">
        <v>0</v>
      </c>
      <c r="V203" s="46">
        <v>0</v>
      </c>
      <c r="W203" s="46">
        <f>G203</f>
        <v>15413918.65</v>
      </c>
      <c r="X203" s="165">
        <v>2015</v>
      </c>
      <c r="Y203" s="165">
        <v>2017</v>
      </c>
      <c r="Z203" s="176">
        <f t="shared" si="29"/>
        <v>82</v>
      </c>
    </row>
    <row r="204" spans="1:26" s="122" customFormat="1" ht="18" customHeight="1">
      <c r="A204" s="165">
        <f t="shared" si="28"/>
        <v>170</v>
      </c>
      <c r="B204" s="24" t="s">
        <v>506</v>
      </c>
      <c r="C204" s="148">
        <v>1952</v>
      </c>
      <c r="D204" s="180" t="s">
        <v>596</v>
      </c>
      <c r="E204" s="49">
        <v>1949.2</v>
      </c>
      <c r="F204" s="49">
        <v>1551.6</v>
      </c>
      <c r="G204" s="46">
        <f>H204+J204+K204+M204+O204+Q204+S204</f>
        <v>3627299.45</v>
      </c>
      <c r="H204" s="35">
        <v>0</v>
      </c>
      <c r="I204" s="35"/>
      <c r="J204" s="35">
        <v>0</v>
      </c>
      <c r="K204" s="35">
        <v>0</v>
      </c>
      <c r="L204" s="35">
        <f>K204/F204</f>
        <v>0</v>
      </c>
      <c r="M204" s="35">
        <v>0</v>
      </c>
      <c r="N204" s="35"/>
      <c r="O204" s="46">
        <v>3627299.45</v>
      </c>
      <c r="P204" s="35">
        <f>O204/F204</f>
        <v>2337.7800012889925</v>
      </c>
      <c r="Q204" s="35">
        <v>0</v>
      </c>
      <c r="R204" s="35"/>
      <c r="S204" s="35">
        <v>0</v>
      </c>
      <c r="T204" s="35">
        <v>0</v>
      </c>
      <c r="U204" s="35">
        <v>0</v>
      </c>
      <c r="V204" s="35">
        <v>0</v>
      </c>
      <c r="W204" s="46">
        <f>G204-V204</f>
        <v>3627299.45</v>
      </c>
      <c r="X204" s="165">
        <v>2016</v>
      </c>
      <c r="Y204" s="165">
        <v>2017</v>
      </c>
      <c r="Z204" s="176">
        <f t="shared" si="29"/>
        <v>83</v>
      </c>
    </row>
    <row r="205" spans="1:26" s="122" customFormat="1" ht="18" customHeight="1">
      <c r="A205" s="165">
        <f t="shared" si="28"/>
        <v>171</v>
      </c>
      <c r="B205" s="24" t="s">
        <v>507</v>
      </c>
      <c r="C205" s="148">
        <v>1952</v>
      </c>
      <c r="D205" s="180" t="s">
        <v>596</v>
      </c>
      <c r="E205" s="49">
        <v>2842.1</v>
      </c>
      <c r="F205" s="49">
        <v>2271.4</v>
      </c>
      <c r="G205" s="46">
        <f>H205+J205+K205+M205+O205+Q205+S205</f>
        <v>5310033.49</v>
      </c>
      <c r="H205" s="35">
        <v>0</v>
      </c>
      <c r="I205" s="35"/>
      <c r="J205" s="35">
        <v>0</v>
      </c>
      <c r="K205" s="35">
        <v>0</v>
      </c>
      <c r="L205" s="35">
        <f>K205/F205</f>
        <v>0</v>
      </c>
      <c r="M205" s="35">
        <v>0</v>
      </c>
      <c r="N205" s="35"/>
      <c r="O205" s="46">
        <v>5310033.49</v>
      </c>
      <c r="P205" s="35">
        <f>O205/F205</f>
        <v>2337.7799991194856</v>
      </c>
      <c r="Q205" s="35">
        <v>0</v>
      </c>
      <c r="R205" s="35"/>
      <c r="S205" s="35">
        <v>0</v>
      </c>
      <c r="T205" s="35">
        <v>0</v>
      </c>
      <c r="U205" s="35">
        <v>0</v>
      </c>
      <c r="V205" s="35">
        <v>0</v>
      </c>
      <c r="W205" s="46">
        <f>G205-V205</f>
        <v>5310033.49</v>
      </c>
      <c r="X205" s="165">
        <v>2016</v>
      </c>
      <c r="Y205" s="165">
        <v>2017</v>
      </c>
      <c r="Z205" s="176">
        <f t="shared" si="29"/>
        <v>84</v>
      </c>
    </row>
    <row r="206" spans="1:26" s="122" customFormat="1" ht="15.75">
      <c r="A206" s="165">
        <f t="shared" si="28"/>
        <v>172</v>
      </c>
      <c r="B206" s="24" t="s">
        <v>631</v>
      </c>
      <c r="C206" s="148">
        <v>1937</v>
      </c>
      <c r="D206" s="180"/>
      <c r="E206" s="49">
        <v>2250.8000000000002</v>
      </c>
      <c r="F206" s="49">
        <v>2091</v>
      </c>
      <c r="G206" s="46">
        <f>H206+J206+K206+M206+O206+Q206+S206</f>
        <v>5869227.8999999994</v>
      </c>
      <c r="H206" s="35">
        <v>0</v>
      </c>
      <c r="I206" s="35"/>
      <c r="J206" s="35">
        <v>0</v>
      </c>
      <c r="K206" s="46">
        <f>F206*1724.9</f>
        <v>3606765.9000000004</v>
      </c>
      <c r="L206" s="35">
        <f>K206/F206</f>
        <v>1724.9</v>
      </c>
      <c r="M206" s="35">
        <v>0</v>
      </c>
      <c r="N206" s="35"/>
      <c r="O206" s="46">
        <f>F206*1082-S206</f>
        <v>2144309.7799999998</v>
      </c>
      <c r="P206" s="35">
        <f>O206/F206</f>
        <v>1025.4948732663797</v>
      </c>
      <c r="Q206" s="35">
        <v>0</v>
      </c>
      <c r="R206" s="35"/>
      <c r="S206" s="35">
        <v>118152.22</v>
      </c>
      <c r="T206" s="35">
        <v>0</v>
      </c>
      <c r="U206" s="35">
        <v>0</v>
      </c>
      <c r="V206" s="35">
        <v>0</v>
      </c>
      <c r="W206" s="46">
        <f>G206</f>
        <v>5869227.8999999994</v>
      </c>
      <c r="X206" s="165">
        <v>2016</v>
      </c>
      <c r="Y206" s="165">
        <v>2017</v>
      </c>
      <c r="Z206" s="176">
        <f t="shared" si="29"/>
        <v>85</v>
      </c>
    </row>
    <row r="207" spans="1:26" s="122" customFormat="1" ht="15.75">
      <c r="A207" s="165">
        <f t="shared" si="28"/>
        <v>173</v>
      </c>
      <c r="B207" s="24" t="s">
        <v>508</v>
      </c>
      <c r="C207" s="148">
        <v>1952</v>
      </c>
      <c r="D207" s="180" t="s">
        <v>596</v>
      </c>
      <c r="E207" s="49">
        <v>3666.5</v>
      </c>
      <c r="F207" s="49">
        <v>2569.1</v>
      </c>
      <c r="G207" s="46">
        <f>H207+J207+K207+M207+O207+Q207+S207</f>
        <v>6005990.5999999996</v>
      </c>
      <c r="H207" s="35">
        <v>0</v>
      </c>
      <c r="I207" s="35"/>
      <c r="J207" s="35">
        <v>0</v>
      </c>
      <c r="K207" s="35">
        <v>0</v>
      </c>
      <c r="L207" s="35">
        <f>K207/F207</f>
        <v>0</v>
      </c>
      <c r="M207" s="35">
        <v>0</v>
      </c>
      <c r="N207" s="35"/>
      <c r="O207" s="46">
        <v>6005990.5999999996</v>
      </c>
      <c r="P207" s="35">
        <f>O207/F207</f>
        <v>2337.7800007784826</v>
      </c>
      <c r="Q207" s="35">
        <v>0</v>
      </c>
      <c r="R207" s="35"/>
      <c r="S207" s="35">
        <v>0</v>
      </c>
      <c r="T207" s="35">
        <v>0</v>
      </c>
      <c r="U207" s="35">
        <v>0</v>
      </c>
      <c r="V207" s="35">
        <v>0</v>
      </c>
      <c r="W207" s="46">
        <f>G207-V207</f>
        <v>6005990.5999999996</v>
      </c>
      <c r="X207" s="165">
        <v>2016</v>
      </c>
      <c r="Y207" s="165">
        <v>2017</v>
      </c>
      <c r="Z207" s="176">
        <f t="shared" si="29"/>
        <v>86</v>
      </c>
    </row>
    <row r="208" spans="1:26" s="122" customFormat="1" ht="18" customHeight="1">
      <c r="A208" s="165">
        <f t="shared" si="28"/>
        <v>174</v>
      </c>
      <c r="B208" s="24" t="s">
        <v>648</v>
      </c>
      <c r="C208" s="148">
        <v>1962</v>
      </c>
      <c r="D208" s="180"/>
      <c r="E208" s="49">
        <f>3046.1+214.3</f>
        <v>3260.4</v>
      </c>
      <c r="F208" s="49">
        <v>3046.1</v>
      </c>
      <c r="G208" s="46">
        <f>H208+J208+K208+M208+O208+Q208+S208</f>
        <v>5254217.8899999997</v>
      </c>
      <c r="H208" s="35">
        <v>0</v>
      </c>
      <c r="I208" s="35"/>
      <c r="J208" s="35">
        <v>0</v>
      </c>
      <c r="K208" s="46">
        <f>F208*1724.9</f>
        <v>5254217.8899999997</v>
      </c>
      <c r="L208" s="35">
        <f>K208/F208</f>
        <v>1724.8999999999999</v>
      </c>
      <c r="M208" s="35">
        <v>0</v>
      </c>
      <c r="N208" s="35"/>
      <c r="O208" s="35">
        <v>0</v>
      </c>
      <c r="P208" s="35">
        <f>O208/F208</f>
        <v>0</v>
      </c>
      <c r="Q208" s="35">
        <v>0</v>
      </c>
      <c r="R208" s="35"/>
      <c r="S208" s="35">
        <v>0</v>
      </c>
      <c r="T208" s="35">
        <v>0</v>
      </c>
      <c r="U208" s="35">
        <v>0</v>
      </c>
      <c r="V208" s="35">
        <v>0</v>
      </c>
      <c r="W208" s="46">
        <f>G208</f>
        <v>5254217.8899999997</v>
      </c>
      <c r="X208" s="165">
        <v>2016</v>
      </c>
      <c r="Y208" s="165">
        <v>2017</v>
      </c>
      <c r="Z208" s="176">
        <f t="shared" si="29"/>
        <v>87</v>
      </c>
    </row>
    <row r="209" spans="1:26" s="122" customFormat="1" ht="18" customHeight="1">
      <c r="A209" s="165">
        <f t="shared" si="28"/>
        <v>175</v>
      </c>
      <c r="B209" s="24" t="s">
        <v>509</v>
      </c>
      <c r="C209" s="148">
        <v>1940</v>
      </c>
      <c r="D209" s="180" t="s">
        <v>596</v>
      </c>
      <c r="E209" s="49">
        <v>2419.1</v>
      </c>
      <c r="F209" s="49">
        <v>1553.4</v>
      </c>
      <c r="G209" s="46">
        <f>H209+J209+K209+M209+O209+Q209+S209</f>
        <v>2477999.21</v>
      </c>
      <c r="H209" s="35">
        <v>0</v>
      </c>
      <c r="I209" s="35"/>
      <c r="J209" s="35">
        <v>0</v>
      </c>
      <c r="K209" s="46">
        <v>2477999.21</v>
      </c>
      <c r="L209" s="35">
        <f>K209/F209</f>
        <v>1595.2099974250032</v>
      </c>
      <c r="M209" s="35">
        <v>0</v>
      </c>
      <c r="N209" s="35"/>
      <c r="O209" s="35">
        <v>0</v>
      </c>
      <c r="P209" s="35">
        <f>O209/F209</f>
        <v>0</v>
      </c>
      <c r="Q209" s="35">
        <v>0</v>
      </c>
      <c r="R209" s="35"/>
      <c r="S209" s="35">
        <v>0</v>
      </c>
      <c r="T209" s="35">
        <v>0</v>
      </c>
      <c r="U209" s="35">
        <v>0</v>
      </c>
      <c r="V209" s="35">
        <v>0</v>
      </c>
      <c r="W209" s="46">
        <f>G209</f>
        <v>2477999.21</v>
      </c>
      <c r="X209" s="165">
        <v>2016</v>
      </c>
      <c r="Y209" s="165">
        <v>2017</v>
      </c>
      <c r="Z209" s="176">
        <f t="shared" si="29"/>
        <v>88</v>
      </c>
    </row>
    <row r="210" spans="1:26" s="122" customFormat="1" ht="18" customHeight="1">
      <c r="A210" s="165">
        <f t="shared" si="28"/>
        <v>176</v>
      </c>
      <c r="B210" s="24" t="s">
        <v>518</v>
      </c>
      <c r="C210" s="148">
        <v>1952</v>
      </c>
      <c r="D210" s="51" t="s">
        <v>596</v>
      </c>
      <c r="E210" s="126">
        <v>2841.9</v>
      </c>
      <c r="F210" s="49">
        <v>1840.2</v>
      </c>
      <c r="G210" s="46">
        <f>H210+J210+K210+M210+O210+Q210+S210</f>
        <v>7237488.1999999993</v>
      </c>
      <c r="H210" s="46">
        <v>0</v>
      </c>
      <c r="I210" s="46"/>
      <c r="J210" s="46">
        <v>0</v>
      </c>
      <c r="K210" s="46">
        <f>ROUND(1840.2*1595.21,2)</f>
        <v>2935505.44</v>
      </c>
      <c r="L210" s="35">
        <f>K210/F210</f>
        <v>1595.2099989131616</v>
      </c>
      <c r="M210" s="46">
        <v>0</v>
      </c>
      <c r="N210" s="46"/>
      <c r="O210" s="172">
        <f>ROUND(1840.2*2337.78,2)</f>
        <v>4301982.76</v>
      </c>
      <c r="P210" s="35">
        <f>O210/F210</f>
        <v>2337.7800021736766</v>
      </c>
      <c r="Q210" s="46">
        <v>0</v>
      </c>
      <c r="R210" s="46"/>
      <c r="S210" s="46">
        <v>0</v>
      </c>
      <c r="T210" s="46">
        <v>0</v>
      </c>
      <c r="U210" s="46">
        <v>0</v>
      </c>
      <c r="V210" s="46">
        <v>0</v>
      </c>
      <c r="W210" s="46">
        <f>G210</f>
        <v>7237488.1999999993</v>
      </c>
      <c r="X210" s="165">
        <v>2015</v>
      </c>
      <c r="Y210" s="165">
        <v>2017</v>
      </c>
      <c r="Z210" s="176">
        <f t="shared" si="29"/>
        <v>89</v>
      </c>
    </row>
    <row r="211" spans="1:26" s="122" customFormat="1" ht="18" customHeight="1">
      <c r="A211" s="165">
        <f t="shared" si="28"/>
        <v>177</v>
      </c>
      <c r="B211" s="24" t="s">
        <v>510</v>
      </c>
      <c r="C211" s="148">
        <v>1953</v>
      </c>
      <c r="D211" s="180" t="s">
        <v>596</v>
      </c>
      <c r="E211" s="49">
        <v>10317.799999999999</v>
      </c>
      <c r="F211" s="49">
        <v>8324.5</v>
      </c>
      <c r="G211" s="46">
        <f>H211+J211+K211+M211+O211+Q211+S211</f>
        <v>32740175.259999998</v>
      </c>
      <c r="H211" s="35">
        <v>0</v>
      </c>
      <c r="I211" s="35"/>
      <c r="J211" s="35">
        <v>0</v>
      </c>
      <c r="K211" s="46">
        <v>13279325.65</v>
      </c>
      <c r="L211" s="35">
        <f>K211/F211</f>
        <v>1595.2100006006367</v>
      </c>
      <c r="M211" s="35">
        <v>0</v>
      </c>
      <c r="N211" s="35"/>
      <c r="O211" s="46">
        <v>19460849.609999999</v>
      </c>
      <c r="P211" s="35">
        <f>O211/F211</f>
        <v>2337.7799999999997</v>
      </c>
      <c r="Q211" s="35">
        <v>0</v>
      </c>
      <c r="R211" s="35"/>
      <c r="S211" s="35">
        <v>0</v>
      </c>
      <c r="T211" s="35">
        <v>0</v>
      </c>
      <c r="U211" s="35">
        <v>0</v>
      </c>
      <c r="V211" s="35">
        <v>0</v>
      </c>
      <c r="W211" s="46">
        <f>G211</f>
        <v>32740175.259999998</v>
      </c>
      <c r="X211" s="165">
        <v>2016</v>
      </c>
      <c r="Y211" s="165">
        <v>2017</v>
      </c>
      <c r="Z211" s="176">
        <f t="shared" si="29"/>
        <v>90</v>
      </c>
    </row>
    <row r="212" spans="1:26" s="122" customFormat="1" ht="18" customHeight="1">
      <c r="A212" s="165">
        <f t="shared" si="28"/>
        <v>178</v>
      </c>
      <c r="B212" s="24" t="s">
        <v>519</v>
      </c>
      <c r="C212" s="148">
        <v>1955</v>
      </c>
      <c r="D212" s="51" t="s">
        <v>596</v>
      </c>
      <c r="E212" s="126">
        <v>2008.8</v>
      </c>
      <c r="F212" s="49">
        <v>1518</v>
      </c>
      <c r="G212" s="46">
        <f>H212+J212+K212+M212+O212+Q212+S212</f>
        <v>5970278.8200000003</v>
      </c>
      <c r="H212" s="46">
        <v>0</v>
      </c>
      <c r="I212" s="46"/>
      <c r="J212" s="46">
        <v>0</v>
      </c>
      <c r="K212" s="46">
        <f>ROUND(1518*1595.21,2)</f>
        <v>2421528.7799999998</v>
      </c>
      <c r="L212" s="35">
        <f>K212/F212</f>
        <v>1595.2099999999998</v>
      </c>
      <c r="M212" s="46">
        <v>0</v>
      </c>
      <c r="N212" s="46"/>
      <c r="O212" s="172">
        <f>ROUND(1518*2337.78,2)</f>
        <v>3548750.04</v>
      </c>
      <c r="P212" s="35">
        <f>O212/F212</f>
        <v>2337.7800000000002</v>
      </c>
      <c r="Q212" s="46">
        <v>0</v>
      </c>
      <c r="R212" s="46"/>
      <c r="S212" s="46">
        <v>0</v>
      </c>
      <c r="T212" s="46">
        <v>0</v>
      </c>
      <c r="U212" s="46">
        <v>0</v>
      </c>
      <c r="V212" s="46">
        <v>0</v>
      </c>
      <c r="W212" s="46">
        <f>G212</f>
        <v>5970278.8200000003</v>
      </c>
      <c r="X212" s="165">
        <v>2015</v>
      </c>
      <c r="Y212" s="165">
        <v>2017</v>
      </c>
      <c r="Z212" s="176">
        <f t="shared" si="29"/>
        <v>91</v>
      </c>
    </row>
    <row r="213" spans="1:26" s="122" customFormat="1" ht="18" customHeight="1">
      <c r="A213" s="165">
        <f t="shared" si="28"/>
        <v>179</v>
      </c>
      <c r="B213" s="24" t="s">
        <v>511</v>
      </c>
      <c r="C213" s="148">
        <v>1949</v>
      </c>
      <c r="D213" s="165" t="s">
        <v>596</v>
      </c>
      <c r="E213" s="49">
        <v>1143.7</v>
      </c>
      <c r="F213" s="49">
        <v>755.4</v>
      </c>
      <c r="G213" s="46">
        <f>H213+J213+K213+M213+O213+Q213+S213</f>
        <v>2970980.6399999997</v>
      </c>
      <c r="H213" s="35">
        <v>0</v>
      </c>
      <c r="I213" s="35"/>
      <c r="J213" s="35">
        <v>0</v>
      </c>
      <c r="K213" s="46">
        <v>1205021.6299999999</v>
      </c>
      <c r="L213" s="35">
        <f>K213/F213</f>
        <v>1595.2099947047921</v>
      </c>
      <c r="M213" s="35">
        <v>0</v>
      </c>
      <c r="N213" s="35"/>
      <c r="O213" s="46">
        <v>1765959.01</v>
      </c>
      <c r="P213" s="35">
        <f>O213/F213</f>
        <v>2337.7799973523961</v>
      </c>
      <c r="Q213" s="35">
        <v>0</v>
      </c>
      <c r="R213" s="35"/>
      <c r="S213" s="35">
        <v>0</v>
      </c>
      <c r="T213" s="35">
        <v>0</v>
      </c>
      <c r="U213" s="35">
        <v>0</v>
      </c>
      <c r="V213" s="35">
        <v>0</v>
      </c>
      <c r="W213" s="46">
        <f>G213</f>
        <v>2970980.6399999997</v>
      </c>
      <c r="X213" s="165">
        <v>2016</v>
      </c>
      <c r="Y213" s="165">
        <v>2017</v>
      </c>
      <c r="Z213" s="176">
        <f t="shared" si="29"/>
        <v>92</v>
      </c>
    </row>
    <row r="214" spans="1:26" s="122" customFormat="1" ht="15.75">
      <c r="A214" s="165">
        <f t="shared" si="28"/>
        <v>180</v>
      </c>
      <c r="B214" s="24" t="s">
        <v>520</v>
      </c>
      <c r="C214" s="148">
        <v>1950</v>
      </c>
      <c r="D214" s="180" t="s">
        <v>596</v>
      </c>
      <c r="E214" s="126">
        <v>1059.3</v>
      </c>
      <c r="F214" s="49">
        <v>965.9</v>
      </c>
      <c r="G214" s="46">
        <f>H214+J214+K214+M214+O214+Q214+S214</f>
        <v>2258061.7000000002</v>
      </c>
      <c r="H214" s="46">
        <v>0</v>
      </c>
      <c r="I214" s="46"/>
      <c r="J214" s="46">
        <v>0</v>
      </c>
      <c r="K214" s="46">
        <v>0</v>
      </c>
      <c r="L214" s="35">
        <f>K214/F214</f>
        <v>0</v>
      </c>
      <c r="M214" s="46">
        <v>0</v>
      </c>
      <c r="N214" s="46"/>
      <c r="O214" s="46">
        <f>ROUND(965.9*2337.78,2)</f>
        <v>2258061.7000000002</v>
      </c>
      <c r="P214" s="35">
        <f>O214/F214</f>
        <v>2337.7799979293927</v>
      </c>
      <c r="Q214" s="46">
        <v>0</v>
      </c>
      <c r="R214" s="46"/>
      <c r="S214" s="46">
        <v>0</v>
      </c>
      <c r="T214" s="46">
        <v>0</v>
      </c>
      <c r="U214" s="46">
        <v>0</v>
      </c>
      <c r="V214" s="46">
        <v>0</v>
      </c>
      <c r="W214" s="46">
        <f>G214</f>
        <v>2258061.7000000002</v>
      </c>
      <c r="X214" s="165">
        <v>2015</v>
      </c>
      <c r="Y214" s="165">
        <v>2017</v>
      </c>
      <c r="Z214" s="176">
        <f t="shared" si="29"/>
        <v>93</v>
      </c>
    </row>
    <row r="215" spans="1:26" s="122" customFormat="1" ht="15.75">
      <c r="A215" s="165">
        <f t="shared" si="28"/>
        <v>181</v>
      </c>
      <c r="B215" s="24" t="s">
        <v>512</v>
      </c>
      <c r="C215" s="148">
        <v>1964</v>
      </c>
      <c r="D215" s="180"/>
      <c r="E215" s="49">
        <v>2961.7</v>
      </c>
      <c r="F215" s="49">
        <v>2516.4</v>
      </c>
      <c r="G215" s="46">
        <f>H215+J215+K215+M215+O215+Q215+S215</f>
        <v>541026</v>
      </c>
      <c r="H215" s="35">
        <v>541026</v>
      </c>
      <c r="I215" s="46">
        <f>H215/F215</f>
        <v>215</v>
      </c>
      <c r="J215" s="35">
        <v>0</v>
      </c>
      <c r="K215" s="35">
        <v>0</v>
      </c>
      <c r="L215" s="35">
        <f>K215/F215</f>
        <v>0</v>
      </c>
      <c r="M215" s="35">
        <v>0</v>
      </c>
      <c r="N215" s="35"/>
      <c r="O215" s="35">
        <v>0</v>
      </c>
      <c r="P215" s="35"/>
      <c r="Q215" s="35">
        <v>0</v>
      </c>
      <c r="R215" s="35"/>
      <c r="S215" s="35">
        <v>0</v>
      </c>
      <c r="T215" s="35">
        <v>0</v>
      </c>
      <c r="U215" s="35">
        <v>0</v>
      </c>
      <c r="V215" s="35">
        <v>0</v>
      </c>
      <c r="W215" s="46">
        <f>G215</f>
        <v>541026</v>
      </c>
      <c r="X215" s="165">
        <v>2016</v>
      </c>
      <c r="Y215" s="165">
        <v>2016</v>
      </c>
      <c r="Z215" s="176">
        <f t="shared" si="29"/>
        <v>94</v>
      </c>
    </row>
    <row r="216" spans="1:26" s="122" customFormat="1" ht="15.75">
      <c r="A216" s="165">
        <f t="shared" si="28"/>
        <v>182</v>
      </c>
      <c r="B216" s="24" t="s">
        <v>374</v>
      </c>
      <c r="C216" s="148">
        <v>1959</v>
      </c>
      <c r="D216" s="180"/>
      <c r="E216" s="49">
        <v>5460.7</v>
      </c>
      <c r="F216" s="49">
        <v>4366.6000000000004</v>
      </c>
      <c r="G216" s="46">
        <f>H216+J216+K216+M216+O216+Q216+S216</f>
        <v>6965643.9900000002</v>
      </c>
      <c r="H216" s="35">
        <v>0</v>
      </c>
      <c r="I216" s="35"/>
      <c r="J216" s="35">
        <v>0</v>
      </c>
      <c r="K216" s="46">
        <v>6965643.9900000002</v>
      </c>
      <c r="L216" s="35">
        <f>K216/F216</f>
        <v>1595.2100009160445</v>
      </c>
      <c r="M216" s="35">
        <v>0</v>
      </c>
      <c r="N216" s="35"/>
      <c r="O216" s="35">
        <v>0</v>
      </c>
      <c r="P216" s="35"/>
      <c r="Q216" s="35">
        <v>0</v>
      </c>
      <c r="R216" s="35"/>
      <c r="S216" s="35">
        <v>0</v>
      </c>
      <c r="T216" s="35">
        <v>0</v>
      </c>
      <c r="U216" s="35">
        <v>0</v>
      </c>
      <c r="V216" s="35">
        <v>0</v>
      </c>
      <c r="W216" s="46">
        <f>G216</f>
        <v>6965643.9900000002</v>
      </c>
      <c r="X216" s="165">
        <v>2016</v>
      </c>
      <c r="Y216" s="165">
        <v>2017</v>
      </c>
      <c r="Z216" s="176">
        <f t="shared" si="29"/>
        <v>95</v>
      </c>
    </row>
    <row r="217" spans="1:26" s="122" customFormat="1" ht="15.75">
      <c r="A217" s="165">
        <f t="shared" si="28"/>
        <v>183</v>
      </c>
      <c r="B217" s="24" t="s">
        <v>375</v>
      </c>
      <c r="C217" s="148">
        <v>1960</v>
      </c>
      <c r="D217" s="51"/>
      <c r="E217" s="126">
        <v>808.9</v>
      </c>
      <c r="F217" s="49">
        <v>634</v>
      </c>
      <c r="G217" s="46">
        <f>H217+J217+K217+M217+O217+Q217+S217</f>
        <v>2523802.4700000002</v>
      </c>
      <c r="H217" s="46">
        <v>0</v>
      </c>
      <c r="I217" s="46"/>
      <c r="J217" s="46">
        <v>0</v>
      </c>
      <c r="K217" s="46">
        <f>ROUND(634*3980.761,2)</f>
        <v>2523802.4700000002</v>
      </c>
      <c r="L217" s="35">
        <f>K217/F217</f>
        <v>3980.760993690852</v>
      </c>
      <c r="M217" s="46">
        <v>0</v>
      </c>
      <c r="N217" s="46"/>
      <c r="O217" s="46">
        <v>0</v>
      </c>
      <c r="P217" s="46"/>
      <c r="Q217" s="46">
        <v>0</v>
      </c>
      <c r="R217" s="46"/>
      <c r="S217" s="46">
        <v>0</v>
      </c>
      <c r="T217" s="46">
        <v>0</v>
      </c>
      <c r="U217" s="46">
        <v>0</v>
      </c>
      <c r="V217" s="46">
        <v>0</v>
      </c>
      <c r="W217" s="46">
        <f>G217</f>
        <v>2523802.4700000002</v>
      </c>
      <c r="X217" s="165">
        <v>2015</v>
      </c>
      <c r="Y217" s="165">
        <v>2017</v>
      </c>
      <c r="Z217" s="176">
        <f t="shared" si="29"/>
        <v>96</v>
      </c>
    </row>
    <row r="218" spans="1:26" s="122" customFormat="1" ht="15.75">
      <c r="A218" s="165">
        <f t="shared" si="28"/>
        <v>184</v>
      </c>
      <c r="B218" s="24" t="s">
        <v>376</v>
      </c>
      <c r="C218" s="148">
        <v>1959</v>
      </c>
      <c r="D218" s="165"/>
      <c r="E218" s="49">
        <f>545.4+16.4</f>
        <v>561.79999999999995</v>
      </c>
      <c r="F218" s="49">
        <v>545.4</v>
      </c>
      <c r="G218" s="46">
        <f>H218+J218+K218+M218+O218+Q218+S218</f>
        <v>2249644.1040000003</v>
      </c>
      <c r="H218" s="35">
        <v>0</v>
      </c>
      <c r="I218" s="35"/>
      <c r="J218" s="35">
        <v>0</v>
      </c>
      <c r="K218" s="46">
        <f>F218*3980.76</f>
        <v>2171106.5040000002</v>
      </c>
      <c r="L218" s="35">
        <f>K218/F218</f>
        <v>3980.7600000000007</v>
      </c>
      <c r="M218" s="35">
        <v>0</v>
      </c>
      <c r="N218" s="35"/>
      <c r="O218" s="35">
        <v>0</v>
      </c>
      <c r="P218" s="173"/>
      <c r="Q218" s="35">
        <f>F218*144</f>
        <v>78537.599999999991</v>
      </c>
      <c r="R218" s="46">
        <f>Q218/F218</f>
        <v>144</v>
      </c>
      <c r="S218" s="35">
        <v>0</v>
      </c>
      <c r="T218" s="35">
        <v>0</v>
      </c>
      <c r="U218" s="35">
        <v>0</v>
      </c>
      <c r="V218" s="35">
        <v>0</v>
      </c>
      <c r="W218" s="46">
        <f>G218</f>
        <v>2249644.1040000003</v>
      </c>
      <c r="X218" s="165">
        <v>2016</v>
      </c>
      <c r="Y218" s="165">
        <v>2017</v>
      </c>
      <c r="Z218" s="176">
        <f t="shared" si="29"/>
        <v>97</v>
      </c>
    </row>
    <row r="219" spans="1:26" s="122" customFormat="1" ht="15.75">
      <c r="A219" s="165">
        <f t="shared" si="28"/>
        <v>185</v>
      </c>
      <c r="B219" s="24" t="s">
        <v>568</v>
      </c>
      <c r="C219" s="148">
        <v>1961</v>
      </c>
      <c r="D219" s="165"/>
      <c r="E219" s="49">
        <f>994.7+20.4</f>
        <v>1015.1</v>
      </c>
      <c r="F219" s="49">
        <v>994.7</v>
      </c>
      <c r="G219" s="46">
        <f>H219+J219+K219+M219+O219+Q219+S219</f>
        <v>1586665.86</v>
      </c>
      <c r="H219" s="35">
        <v>0</v>
      </c>
      <c r="I219" s="35"/>
      <c r="J219" s="35">
        <v>0</v>
      </c>
      <c r="K219" s="46">
        <v>1586665.86</v>
      </c>
      <c r="L219" s="35"/>
      <c r="M219" s="35">
        <v>0</v>
      </c>
      <c r="N219" s="35"/>
      <c r="O219" s="35">
        <v>0</v>
      </c>
      <c r="P219" s="35"/>
      <c r="Q219" s="35">
        <v>0</v>
      </c>
      <c r="R219" s="35"/>
      <c r="S219" s="35">
        <v>0</v>
      </c>
      <c r="T219" s="35">
        <v>0</v>
      </c>
      <c r="U219" s="35">
        <v>0</v>
      </c>
      <c r="V219" s="35">
        <v>0</v>
      </c>
      <c r="W219" s="46">
        <f>G219</f>
        <v>1586665.86</v>
      </c>
      <c r="X219" s="165">
        <v>2016</v>
      </c>
      <c r="Y219" s="165">
        <v>2016</v>
      </c>
      <c r="Z219" s="176">
        <f t="shared" si="29"/>
        <v>98</v>
      </c>
    </row>
    <row r="220" spans="1:26" s="122" customFormat="1" ht="15.75">
      <c r="A220" s="165">
        <f t="shared" si="28"/>
        <v>186</v>
      </c>
      <c r="B220" s="24" t="s">
        <v>377</v>
      </c>
      <c r="C220" s="148">
        <v>1960</v>
      </c>
      <c r="D220" s="165"/>
      <c r="E220" s="49">
        <v>652</v>
      </c>
      <c r="F220" s="49">
        <v>561</v>
      </c>
      <c r="G220" s="46">
        <f>H220+J220+K220+M220+O220+Q220+S220</f>
        <v>2233206.3600000003</v>
      </c>
      <c r="H220" s="35">
        <v>0</v>
      </c>
      <c r="I220" s="35"/>
      <c r="J220" s="35">
        <v>0</v>
      </c>
      <c r="K220" s="46">
        <f>F220*3980.76</f>
        <v>2233206.3600000003</v>
      </c>
      <c r="L220" s="35">
        <f>K220/F220</f>
        <v>3980.7600000000007</v>
      </c>
      <c r="M220" s="35">
        <v>0</v>
      </c>
      <c r="N220" s="35"/>
      <c r="O220" s="35">
        <v>0</v>
      </c>
      <c r="P220" s="35"/>
      <c r="Q220" s="35">
        <v>0</v>
      </c>
      <c r="R220" s="35"/>
      <c r="S220" s="35">
        <v>0</v>
      </c>
      <c r="T220" s="35">
        <v>0</v>
      </c>
      <c r="U220" s="35">
        <v>0</v>
      </c>
      <c r="V220" s="35">
        <v>0</v>
      </c>
      <c r="W220" s="46">
        <f>G220</f>
        <v>2233206.3600000003</v>
      </c>
      <c r="X220" s="165">
        <v>2016</v>
      </c>
      <c r="Y220" s="165">
        <v>2016</v>
      </c>
      <c r="Z220" s="176">
        <f t="shared" si="29"/>
        <v>99</v>
      </c>
    </row>
    <row r="221" spans="1:26" s="122" customFormat="1" ht="15.75">
      <c r="A221" s="165">
        <f t="shared" si="28"/>
        <v>187</v>
      </c>
      <c r="B221" s="24" t="s">
        <v>566</v>
      </c>
      <c r="C221" s="148">
        <v>1949</v>
      </c>
      <c r="D221" s="51"/>
      <c r="E221" s="126">
        <f>469.9+9</f>
        <v>478.9</v>
      </c>
      <c r="F221" s="49">
        <f>469.9</f>
        <v>469.9</v>
      </c>
      <c r="G221" s="46">
        <f>H221+J221+K221+M221+O221+Q221+S221</f>
        <v>1870559.59</v>
      </c>
      <c r="H221" s="46">
        <v>0</v>
      </c>
      <c r="I221" s="46"/>
      <c r="J221" s="46">
        <v>0</v>
      </c>
      <c r="K221" s="46">
        <f>ROUND(469.9*3980.761,2)</f>
        <v>1870559.59</v>
      </c>
      <c r="L221" s="35">
        <f>K221/F221</f>
        <v>3980.760991700362</v>
      </c>
      <c r="M221" s="46">
        <v>0</v>
      </c>
      <c r="N221" s="46"/>
      <c r="O221" s="46">
        <v>0</v>
      </c>
      <c r="P221" s="46"/>
      <c r="Q221" s="46">
        <v>0</v>
      </c>
      <c r="R221" s="46"/>
      <c r="S221" s="46">
        <v>0</v>
      </c>
      <c r="T221" s="46">
        <v>0</v>
      </c>
      <c r="U221" s="46">
        <v>0</v>
      </c>
      <c r="V221" s="46">
        <v>0</v>
      </c>
      <c r="W221" s="46">
        <f>G221</f>
        <v>1870559.59</v>
      </c>
      <c r="X221" s="165">
        <v>2015</v>
      </c>
      <c r="Y221" s="165">
        <v>2016</v>
      </c>
      <c r="Z221" s="176">
        <f t="shared" si="29"/>
        <v>100</v>
      </c>
    </row>
    <row r="222" spans="1:26" s="122" customFormat="1" ht="18.75" customHeight="1">
      <c r="A222" s="165">
        <f t="shared" si="28"/>
        <v>188</v>
      </c>
      <c r="B222" s="24" t="s">
        <v>564</v>
      </c>
      <c r="C222" s="148">
        <v>1973</v>
      </c>
      <c r="D222" s="51"/>
      <c r="E222" s="126">
        <v>2525.5</v>
      </c>
      <c r="F222" s="49">
        <v>1775</v>
      </c>
      <c r="G222" s="46">
        <f>H222+J222+K222+M222+O222+Q222+S222</f>
        <v>2458664.9500000002</v>
      </c>
      <c r="H222" s="46">
        <v>0</v>
      </c>
      <c r="I222" s="46"/>
      <c r="J222" s="46">
        <v>0</v>
      </c>
      <c r="K222" s="46">
        <v>2458664.9500000002</v>
      </c>
      <c r="L222" s="35">
        <f>K222/F222</f>
        <v>1385.1633521126762</v>
      </c>
      <c r="M222" s="46">
        <v>0</v>
      </c>
      <c r="N222" s="46"/>
      <c r="O222" s="46">
        <v>0</v>
      </c>
      <c r="P222" s="46"/>
      <c r="Q222" s="46">
        <v>0</v>
      </c>
      <c r="R222" s="46"/>
      <c r="S222" s="46">
        <v>0</v>
      </c>
      <c r="T222" s="46">
        <v>0</v>
      </c>
      <c r="U222" s="46">
        <v>0</v>
      </c>
      <c r="V222" s="46">
        <v>0</v>
      </c>
      <c r="W222" s="46">
        <f>G222</f>
        <v>2458664.9500000002</v>
      </c>
      <c r="X222" s="165">
        <v>2015</v>
      </c>
      <c r="Y222" s="165">
        <v>2016</v>
      </c>
      <c r="Z222" s="176">
        <f t="shared" si="29"/>
        <v>101</v>
      </c>
    </row>
    <row r="223" spans="1:26" s="122" customFormat="1" ht="18" customHeight="1">
      <c r="A223" s="165">
        <f t="shared" si="28"/>
        <v>189</v>
      </c>
      <c r="B223" s="24" t="s">
        <v>567</v>
      </c>
      <c r="C223" s="148">
        <v>1975</v>
      </c>
      <c r="D223" s="165"/>
      <c r="E223" s="49">
        <v>3021.6</v>
      </c>
      <c r="F223" s="49">
        <v>2500.3000000000002</v>
      </c>
      <c r="G223" s="46">
        <f>H223+J223+K223+M223+O223+Q223+S223</f>
        <v>2321928.6</v>
      </c>
      <c r="H223" s="35">
        <v>0</v>
      </c>
      <c r="I223" s="35"/>
      <c r="J223" s="35">
        <v>0</v>
      </c>
      <c r="K223" s="46">
        <v>2321928.6</v>
      </c>
      <c r="L223" s="35"/>
      <c r="M223" s="35">
        <v>0</v>
      </c>
      <c r="N223" s="35"/>
      <c r="O223" s="35">
        <v>0</v>
      </c>
      <c r="P223" s="35"/>
      <c r="Q223" s="35">
        <v>0</v>
      </c>
      <c r="R223" s="35"/>
      <c r="S223" s="35">
        <v>0</v>
      </c>
      <c r="T223" s="35">
        <v>0</v>
      </c>
      <c r="U223" s="35">
        <v>0</v>
      </c>
      <c r="V223" s="35">
        <v>0</v>
      </c>
      <c r="W223" s="46">
        <f>G223</f>
        <v>2321928.6</v>
      </c>
      <c r="X223" s="165">
        <v>2016</v>
      </c>
      <c r="Y223" s="165">
        <v>2016</v>
      </c>
      <c r="Z223" s="176">
        <f t="shared" si="29"/>
        <v>102</v>
      </c>
    </row>
    <row r="224" spans="1:26" s="122" customFormat="1" ht="18" customHeight="1">
      <c r="A224" s="165">
        <f t="shared" si="28"/>
        <v>190</v>
      </c>
      <c r="B224" s="24" t="s">
        <v>169</v>
      </c>
      <c r="C224" s="148">
        <v>1992</v>
      </c>
      <c r="D224" s="51"/>
      <c r="E224" s="126">
        <v>7623.2</v>
      </c>
      <c r="F224" s="49">
        <v>7512.2</v>
      </c>
      <c r="G224" s="46">
        <f>H224+J224+K224+M224+O224+Q224+S224</f>
        <v>10080614.75</v>
      </c>
      <c r="H224" s="46">
        <v>0</v>
      </c>
      <c r="I224" s="46"/>
      <c r="J224" s="46">
        <v>0</v>
      </c>
      <c r="K224" s="46">
        <v>4973451.91</v>
      </c>
      <c r="L224" s="35">
        <f>K224/F224</f>
        <v>662.04998668832036</v>
      </c>
      <c r="M224" s="46">
        <v>0</v>
      </c>
      <c r="N224" s="46"/>
      <c r="O224" s="129">
        <v>5107162.84</v>
      </c>
      <c r="P224" s="35">
        <f>O224/F224</f>
        <v>679.84915737067706</v>
      </c>
      <c r="Q224" s="129">
        <v>0</v>
      </c>
      <c r="R224" s="129"/>
      <c r="S224" s="129">
        <v>0</v>
      </c>
      <c r="T224" s="35">
        <v>0</v>
      </c>
      <c r="U224" s="35">
        <v>0</v>
      </c>
      <c r="V224" s="35">
        <v>0</v>
      </c>
      <c r="W224" s="46">
        <f>G224</f>
        <v>10080614.75</v>
      </c>
      <c r="X224" s="165">
        <v>2015</v>
      </c>
      <c r="Y224" s="165">
        <v>2017</v>
      </c>
      <c r="Z224" s="176">
        <f t="shared" si="29"/>
        <v>103</v>
      </c>
    </row>
    <row r="225" spans="1:26" s="122" customFormat="1" ht="18.75" customHeight="1">
      <c r="A225" s="165">
        <f t="shared" si="28"/>
        <v>191</v>
      </c>
      <c r="B225" s="24" t="s">
        <v>378</v>
      </c>
      <c r="C225" s="148">
        <v>1981</v>
      </c>
      <c r="D225" s="165"/>
      <c r="E225" s="49">
        <v>7703.2</v>
      </c>
      <c r="F225" s="49">
        <v>7223.2</v>
      </c>
      <c r="G225" s="46">
        <f>H225+J225+K225+M225+O225+Q225+S225</f>
        <v>4021580.94</v>
      </c>
      <c r="H225" s="35">
        <v>0</v>
      </c>
      <c r="I225" s="35"/>
      <c r="J225" s="35">
        <f>8043161.88/2</f>
        <v>4021580.94</v>
      </c>
      <c r="K225" s="35">
        <v>0</v>
      </c>
      <c r="L225" s="35">
        <f>K225/F225</f>
        <v>0</v>
      </c>
      <c r="M225" s="35">
        <v>0</v>
      </c>
      <c r="N225" s="35"/>
      <c r="O225" s="35">
        <v>0</v>
      </c>
      <c r="P225" s="35"/>
      <c r="Q225" s="35">
        <v>0</v>
      </c>
      <c r="R225" s="35"/>
      <c r="S225" s="35">
        <v>0</v>
      </c>
      <c r="T225" s="35">
        <v>0</v>
      </c>
      <c r="U225" s="35">
        <v>0</v>
      </c>
      <c r="V225" s="35">
        <v>0</v>
      </c>
      <c r="W225" s="46">
        <f>G225</f>
        <v>4021580.94</v>
      </c>
      <c r="X225" s="165">
        <v>2016</v>
      </c>
      <c r="Y225" s="165">
        <v>2016</v>
      </c>
      <c r="Z225" s="176">
        <f t="shared" si="29"/>
        <v>104</v>
      </c>
    </row>
    <row r="226" spans="1:26" s="122" customFormat="1" ht="18" customHeight="1">
      <c r="A226" s="165">
        <f t="shared" si="28"/>
        <v>192</v>
      </c>
      <c r="B226" s="24" t="s">
        <v>379</v>
      </c>
      <c r="C226" s="148">
        <v>1951</v>
      </c>
      <c r="D226" s="165"/>
      <c r="E226" s="49">
        <f>838.1+20.4</f>
        <v>858.5</v>
      </c>
      <c r="F226" s="49">
        <v>838.1</v>
      </c>
      <c r="G226" s="46">
        <f>H226+J226+K226+M226+O226+Q226+S226</f>
        <v>3336274.9560000002</v>
      </c>
      <c r="H226" s="35">
        <v>0</v>
      </c>
      <c r="I226" s="35"/>
      <c r="J226" s="35">
        <v>0</v>
      </c>
      <c r="K226" s="46">
        <f>F226*3980.76</f>
        <v>3336274.9560000002</v>
      </c>
      <c r="L226" s="35">
        <f>K226/F226</f>
        <v>3980.76</v>
      </c>
      <c r="M226" s="35">
        <v>0</v>
      </c>
      <c r="N226" s="35"/>
      <c r="O226" s="35">
        <v>0</v>
      </c>
      <c r="P226" s="35"/>
      <c r="Q226" s="35">
        <v>0</v>
      </c>
      <c r="R226" s="35"/>
      <c r="S226" s="35">
        <v>0</v>
      </c>
      <c r="T226" s="35">
        <v>0</v>
      </c>
      <c r="U226" s="35">
        <v>0</v>
      </c>
      <c r="V226" s="35">
        <v>0</v>
      </c>
      <c r="W226" s="46">
        <f>G226</f>
        <v>3336274.9560000002</v>
      </c>
      <c r="X226" s="165">
        <v>2016</v>
      </c>
      <c r="Y226" s="165">
        <v>2017</v>
      </c>
      <c r="Z226" s="176">
        <f t="shared" si="29"/>
        <v>105</v>
      </c>
    </row>
    <row r="227" spans="1:26" s="122" customFormat="1" ht="18" customHeight="1">
      <c r="A227" s="165">
        <f t="shared" si="28"/>
        <v>193</v>
      </c>
      <c r="B227" s="24" t="s">
        <v>620</v>
      </c>
      <c r="C227" s="148">
        <v>1954</v>
      </c>
      <c r="D227" s="51"/>
      <c r="E227" s="126">
        <v>2883.2</v>
      </c>
      <c r="F227" s="49">
        <v>2239.8000000000002</v>
      </c>
      <c r="G227" s="46">
        <f>H227+J227+K227+M227+O227+Q227+S227</f>
        <v>5548678.9400000004</v>
      </c>
      <c r="H227" s="46">
        <v>0</v>
      </c>
      <c r="I227" s="46"/>
      <c r="J227" s="46">
        <v>0</v>
      </c>
      <c r="K227" s="46">
        <f>ROUND(2239.8*1595.21,2)</f>
        <v>3572951.36</v>
      </c>
      <c r="L227" s="35">
        <f>K227/F227</f>
        <v>1595.2100008929367</v>
      </c>
      <c r="M227" s="46">
        <v>0</v>
      </c>
      <c r="N227" s="46"/>
      <c r="O227" s="46">
        <f>ROUND(2239.8*882.1,2)-S227</f>
        <v>1857183.9300000002</v>
      </c>
      <c r="P227" s="35">
        <f>O227/F227</f>
        <v>829.17400214304848</v>
      </c>
      <c r="Q227" s="46">
        <v>0</v>
      </c>
      <c r="R227" s="46"/>
      <c r="S227" s="46">
        <v>118543.65</v>
      </c>
      <c r="T227" s="46">
        <v>0</v>
      </c>
      <c r="U227" s="46">
        <v>0</v>
      </c>
      <c r="V227" s="46">
        <v>0</v>
      </c>
      <c r="W227" s="46">
        <f>G227</f>
        <v>5548678.9400000004</v>
      </c>
      <c r="X227" s="165">
        <v>2015</v>
      </c>
      <c r="Y227" s="165">
        <v>2017</v>
      </c>
      <c r="Z227" s="176">
        <f t="shared" si="29"/>
        <v>106</v>
      </c>
    </row>
    <row r="228" spans="1:26" s="122" customFormat="1" ht="18" customHeight="1">
      <c r="A228" s="165">
        <f t="shared" si="28"/>
        <v>194</v>
      </c>
      <c r="B228" s="24" t="s">
        <v>380</v>
      </c>
      <c r="C228" s="148">
        <v>1959</v>
      </c>
      <c r="D228" s="165" t="s">
        <v>596</v>
      </c>
      <c r="E228" s="49">
        <v>7307.9</v>
      </c>
      <c r="F228" s="49">
        <v>4410.6000000000004</v>
      </c>
      <c r="G228" s="46">
        <f>H228+J228+K228+M228+O228+Q228+S228</f>
        <v>3890590.26</v>
      </c>
      <c r="H228" s="35">
        <v>0</v>
      </c>
      <c r="I228" s="35"/>
      <c r="J228" s="35">
        <v>0</v>
      </c>
      <c r="K228" s="35">
        <v>0</v>
      </c>
      <c r="L228" s="35">
        <f>K228/F228</f>
        <v>0</v>
      </c>
      <c r="M228" s="35">
        <v>0</v>
      </c>
      <c r="N228" s="35"/>
      <c r="O228" s="46">
        <v>3890590.26</v>
      </c>
      <c r="P228" s="35">
        <f>O228/F228</f>
        <v>882.09999999999991</v>
      </c>
      <c r="Q228" s="35">
        <v>0</v>
      </c>
      <c r="R228" s="35"/>
      <c r="S228" s="35">
        <v>0</v>
      </c>
      <c r="T228" s="35">
        <v>0</v>
      </c>
      <c r="U228" s="35">
        <v>0</v>
      </c>
      <c r="V228" s="35">
        <v>0</v>
      </c>
      <c r="W228" s="46">
        <f>G228</f>
        <v>3890590.26</v>
      </c>
      <c r="X228" s="165">
        <v>2016</v>
      </c>
      <c r="Y228" s="165">
        <v>2017</v>
      </c>
      <c r="Z228" s="176">
        <f t="shared" si="29"/>
        <v>107</v>
      </c>
    </row>
    <row r="229" spans="1:26" s="122" customFormat="1" ht="18" customHeight="1">
      <c r="A229" s="165">
        <f t="shared" si="28"/>
        <v>195</v>
      </c>
      <c r="B229" s="24" t="s">
        <v>381</v>
      </c>
      <c r="C229" s="148">
        <v>1971</v>
      </c>
      <c r="D229" s="165"/>
      <c r="E229" s="49">
        <v>3896.2</v>
      </c>
      <c r="F229" s="49">
        <v>3865.5</v>
      </c>
      <c r="G229" s="46">
        <f>H229+J229+K229+M229+O229+Q229+S229</f>
        <v>2355558.39</v>
      </c>
      <c r="H229" s="35">
        <v>0</v>
      </c>
      <c r="I229" s="35"/>
      <c r="J229" s="35">
        <v>0</v>
      </c>
      <c r="K229" s="46">
        <v>2355558.39</v>
      </c>
      <c r="L229" s="35">
        <f>K229/F229</f>
        <v>609.38</v>
      </c>
      <c r="M229" s="35">
        <v>0</v>
      </c>
      <c r="N229" s="35"/>
      <c r="O229" s="35">
        <v>0</v>
      </c>
      <c r="P229" s="35"/>
      <c r="Q229" s="35">
        <v>0</v>
      </c>
      <c r="R229" s="35"/>
      <c r="S229" s="35">
        <v>0</v>
      </c>
      <c r="T229" s="35">
        <v>0</v>
      </c>
      <c r="U229" s="35">
        <v>0</v>
      </c>
      <c r="V229" s="35">
        <v>0</v>
      </c>
      <c r="W229" s="46">
        <f>G229</f>
        <v>2355558.39</v>
      </c>
      <c r="X229" s="165">
        <v>2016</v>
      </c>
      <c r="Y229" s="165">
        <v>2016</v>
      </c>
      <c r="Z229" s="176">
        <f t="shared" si="29"/>
        <v>108</v>
      </c>
    </row>
    <row r="230" spans="1:26" s="122" customFormat="1" ht="18" customHeight="1">
      <c r="A230" s="165">
        <f t="shared" si="28"/>
        <v>196</v>
      </c>
      <c r="B230" s="24" t="s">
        <v>382</v>
      </c>
      <c r="C230" s="148">
        <v>1988</v>
      </c>
      <c r="D230" s="165"/>
      <c r="E230" s="49">
        <v>1925.9</v>
      </c>
      <c r="F230" s="49">
        <v>1759.1</v>
      </c>
      <c r="G230" s="46">
        <f>H230+J230+K230+M230+O230+Q230+S230</f>
        <v>992853.63</v>
      </c>
      <c r="H230" s="35">
        <v>0</v>
      </c>
      <c r="I230" s="35"/>
      <c r="J230" s="35">
        <v>0</v>
      </c>
      <c r="K230" s="46">
        <f>ROUND(564.41*1759.1,2)</f>
        <v>992853.63</v>
      </c>
      <c r="L230" s="35">
        <f>K230/F230</f>
        <v>564.40999943152747</v>
      </c>
      <c r="M230" s="35">
        <v>0</v>
      </c>
      <c r="N230" s="35"/>
      <c r="O230" s="35">
        <v>0</v>
      </c>
      <c r="P230" s="35"/>
      <c r="Q230" s="35">
        <v>0</v>
      </c>
      <c r="R230" s="35"/>
      <c r="S230" s="35">
        <v>0</v>
      </c>
      <c r="T230" s="35">
        <v>0</v>
      </c>
      <c r="U230" s="35">
        <v>0</v>
      </c>
      <c r="V230" s="35">
        <v>0</v>
      </c>
      <c r="W230" s="46">
        <f>G230</f>
        <v>992853.63</v>
      </c>
      <c r="X230" s="165">
        <v>2016</v>
      </c>
      <c r="Y230" s="165">
        <v>2016</v>
      </c>
      <c r="Z230" s="176">
        <f t="shared" si="29"/>
        <v>109</v>
      </c>
    </row>
    <row r="231" spans="1:26" s="122" customFormat="1" ht="30.75" customHeight="1">
      <c r="A231" s="165">
        <f t="shared" si="28"/>
        <v>197</v>
      </c>
      <c r="B231" s="24" t="s">
        <v>565</v>
      </c>
      <c r="C231" s="148">
        <v>1953</v>
      </c>
      <c r="D231" s="51"/>
      <c r="E231" s="126">
        <f>592.3+9</f>
        <v>601.29999999999995</v>
      </c>
      <c r="F231" s="49">
        <f>592.3</f>
        <v>592.29999999999995</v>
      </c>
      <c r="G231" s="46">
        <f>H231+J231+K231+M231+O231+Q231+S231</f>
        <v>85291.199999999997</v>
      </c>
      <c r="H231" s="46">
        <v>0</v>
      </c>
      <c r="I231" s="46"/>
      <c r="J231" s="46">
        <v>0</v>
      </c>
      <c r="K231" s="46">
        <v>0</v>
      </c>
      <c r="L231" s="35">
        <f>K231/F231</f>
        <v>0</v>
      </c>
      <c r="M231" s="46">
        <v>0</v>
      </c>
      <c r="N231" s="46"/>
      <c r="O231" s="46">
        <v>0</v>
      </c>
      <c r="P231" s="46"/>
      <c r="Q231" s="46">
        <f>ROUND(592.3*144,2)</f>
        <v>85291.199999999997</v>
      </c>
      <c r="R231" s="46">
        <f>Q231/F231</f>
        <v>144</v>
      </c>
      <c r="S231" s="46">
        <v>0</v>
      </c>
      <c r="T231" s="46">
        <v>0</v>
      </c>
      <c r="U231" s="46">
        <v>0</v>
      </c>
      <c r="V231" s="46">
        <v>0</v>
      </c>
      <c r="W231" s="46">
        <f>G231</f>
        <v>85291.199999999997</v>
      </c>
      <c r="X231" s="165">
        <v>2015</v>
      </c>
      <c r="Y231" s="165">
        <v>2017</v>
      </c>
      <c r="Z231" s="176">
        <f t="shared" si="29"/>
        <v>110</v>
      </c>
    </row>
    <row r="232" spans="1:26" s="122" customFormat="1" ht="35.25" customHeight="1">
      <c r="A232" s="165">
        <f t="shared" si="28"/>
        <v>198</v>
      </c>
      <c r="B232" s="24" t="s">
        <v>192</v>
      </c>
      <c r="C232" s="148">
        <v>1976</v>
      </c>
      <c r="D232" s="165"/>
      <c r="E232" s="126">
        <v>1928.6</v>
      </c>
      <c r="F232" s="49">
        <v>1648.5</v>
      </c>
      <c r="G232" s="46">
        <f>H232+J232+K232+M232+O232+Q232+S232</f>
        <v>278711.90000000002</v>
      </c>
      <c r="H232" s="46">
        <f>ROUND(1648.5*169.07,2)</f>
        <v>278711.90000000002</v>
      </c>
      <c r="I232" s="46">
        <f>H232/F232</f>
        <v>169.07000303306037</v>
      </c>
      <c r="J232" s="129">
        <v>0</v>
      </c>
      <c r="K232" s="129">
        <v>0</v>
      </c>
      <c r="L232" s="35">
        <f>K232/F232</f>
        <v>0</v>
      </c>
      <c r="M232" s="129">
        <v>0</v>
      </c>
      <c r="N232" s="129"/>
      <c r="O232" s="129">
        <v>0</v>
      </c>
      <c r="P232" s="35">
        <f>O232/F232</f>
        <v>0</v>
      </c>
      <c r="Q232" s="129">
        <v>0</v>
      </c>
      <c r="R232" s="129"/>
      <c r="S232" s="129">
        <v>0</v>
      </c>
      <c r="T232" s="35">
        <v>0</v>
      </c>
      <c r="U232" s="35">
        <v>0</v>
      </c>
      <c r="V232" s="35">
        <v>0</v>
      </c>
      <c r="W232" s="46">
        <f>G232</f>
        <v>278711.90000000002</v>
      </c>
      <c r="X232" s="165">
        <v>2015</v>
      </c>
      <c r="Y232" s="165">
        <v>2016</v>
      </c>
      <c r="Z232" s="176">
        <f t="shared" si="29"/>
        <v>111</v>
      </c>
    </row>
    <row r="233" spans="1:26" s="122" customFormat="1" ht="18" customHeight="1">
      <c r="A233" s="165">
        <f t="shared" si="28"/>
        <v>199</v>
      </c>
      <c r="B233" s="24" t="s">
        <v>173</v>
      </c>
      <c r="C233" s="148">
        <v>1965</v>
      </c>
      <c r="D233" s="51"/>
      <c r="E233" s="126">
        <f>1589.7+30</f>
        <v>1619.7</v>
      </c>
      <c r="F233" s="49">
        <f>1589.7</f>
        <v>1589.7</v>
      </c>
      <c r="G233" s="46">
        <f>H233+J233+K233+M233+O233+Q233+S233</f>
        <v>1519943.96</v>
      </c>
      <c r="H233" s="46">
        <v>0</v>
      </c>
      <c r="I233" s="46"/>
      <c r="J233" s="46">
        <v>0</v>
      </c>
      <c r="K233" s="46">
        <f>ROUND(F233*956.12,2)</f>
        <v>1519943.96</v>
      </c>
      <c r="L233" s="35">
        <f>K233/F233</f>
        <v>956.11999748380197</v>
      </c>
      <c r="M233" s="46">
        <v>0</v>
      </c>
      <c r="N233" s="46"/>
      <c r="O233" s="46">
        <v>0</v>
      </c>
      <c r="P233" s="46"/>
      <c r="Q233" s="46">
        <v>0</v>
      </c>
      <c r="R233" s="46"/>
      <c r="S233" s="46">
        <v>0</v>
      </c>
      <c r="T233" s="46">
        <v>0</v>
      </c>
      <c r="U233" s="46">
        <v>0</v>
      </c>
      <c r="V233" s="46">
        <v>0</v>
      </c>
      <c r="W233" s="46">
        <f>G233</f>
        <v>1519943.96</v>
      </c>
      <c r="X233" s="165">
        <v>2015</v>
      </c>
      <c r="Y233" s="165">
        <v>2016</v>
      </c>
      <c r="Z233" s="176">
        <f t="shared" si="29"/>
        <v>112</v>
      </c>
    </row>
    <row r="234" spans="1:26" s="122" customFormat="1" ht="18" customHeight="1">
      <c r="A234" s="165">
        <f t="shared" si="28"/>
        <v>200</v>
      </c>
      <c r="B234" s="24" t="s">
        <v>383</v>
      </c>
      <c r="C234" s="148">
        <v>1985</v>
      </c>
      <c r="D234" s="165"/>
      <c r="E234" s="49">
        <v>7910.2</v>
      </c>
      <c r="F234" s="49">
        <v>7860.3</v>
      </c>
      <c r="G234" s="46">
        <f>H234+J234+K234+M234+O234+Q234+S234</f>
        <v>1328940.92</v>
      </c>
      <c r="H234" s="35">
        <f>ROUND(1328940.921,2)</f>
        <v>1328940.92</v>
      </c>
      <c r="I234" s="46">
        <f>H234/F234</f>
        <v>169.06999987277837</v>
      </c>
      <c r="J234" s="35">
        <v>0</v>
      </c>
      <c r="K234" s="35">
        <v>0</v>
      </c>
      <c r="L234" s="35">
        <f>K234/F234</f>
        <v>0</v>
      </c>
      <c r="M234" s="35">
        <v>0</v>
      </c>
      <c r="N234" s="35"/>
      <c r="O234" s="35">
        <v>0</v>
      </c>
      <c r="P234" s="35"/>
      <c r="Q234" s="35">
        <v>0</v>
      </c>
      <c r="R234" s="35"/>
      <c r="S234" s="35">
        <v>0</v>
      </c>
      <c r="T234" s="35">
        <v>0</v>
      </c>
      <c r="U234" s="35">
        <v>0</v>
      </c>
      <c r="V234" s="35">
        <v>0</v>
      </c>
      <c r="W234" s="46">
        <f>G234</f>
        <v>1328940.92</v>
      </c>
      <c r="X234" s="165">
        <v>2016</v>
      </c>
      <c r="Y234" s="165">
        <v>2017</v>
      </c>
      <c r="Z234" s="176">
        <f t="shared" si="29"/>
        <v>113</v>
      </c>
    </row>
    <row r="235" spans="1:26" s="122" customFormat="1" ht="18" customHeight="1">
      <c r="A235" s="165">
        <f t="shared" si="28"/>
        <v>201</v>
      </c>
      <c r="B235" s="24" t="s">
        <v>384</v>
      </c>
      <c r="C235" s="148">
        <v>1955</v>
      </c>
      <c r="D235" s="165"/>
      <c r="E235" s="49">
        <v>2319.1</v>
      </c>
      <c r="F235" s="49">
        <v>1909.3</v>
      </c>
      <c r="G235" s="46">
        <f>H235+J235+K235+M235+O235+Q235+S235</f>
        <v>5359214.17</v>
      </c>
      <c r="H235" s="35">
        <v>0</v>
      </c>
      <c r="I235" s="35"/>
      <c r="J235" s="35">
        <v>0</v>
      </c>
      <c r="K235" s="46">
        <f>F235*1724.9</f>
        <v>3293351.5700000003</v>
      </c>
      <c r="L235" s="35">
        <f>K235/F235</f>
        <v>1724.9</v>
      </c>
      <c r="M235" s="35">
        <v>0</v>
      </c>
      <c r="N235" s="35"/>
      <c r="O235" s="46">
        <f>F235*1082-S235</f>
        <v>1941910.8399999999</v>
      </c>
      <c r="P235" s="35">
        <f>O235/F235</f>
        <v>1017.0799979049913</v>
      </c>
      <c r="Q235" s="35">
        <v>0</v>
      </c>
      <c r="R235" s="35"/>
      <c r="S235" s="46">
        <v>123951.76</v>
      </c>
      <c r="T235" s="35">
        <v>0</v>
      </c>
      <c r="U235" s="35">
        <v>0</v>
      </c>
      <c r="V235" s="35">
        <v>0</v>
      </c>
      <c r="W235" s="46">
        <f>G235</f>
        <v>5359214.17</v>
      </c>
      <c r="X235" s="165">
        <v>2016</v>
      </c>
      <c r="Y235" s="165">
        <v>2017</v>
      </c>
      <c r="Z235" s="176">
        <f t="shared" si="29"/>
        <v>114</v>
      </c>
    </row>
    <row r="236" spans="1:26" s="122" customFormat="1" ht="18" customHeight="1">
      <c r="A236" s="165">
        <f t="shared" si="28"/>
        <v>202</v>
      </c>
      <c r="B236" s="24" t="s">
        <v>385</v>
      </c>
      <c r="C236" s="148">
        <v>1957</v>
      </c>
      <c r="D236" s="165"/>
      <c r="E236" s="49">
        <v>2744.6</v>
      </c>
      <c r="F236" s="49">
        <v>1693.5</v>
      </c>
      <c r="G236" s="46">
        <f>H236+J236+K236+M236+O236+Q236+S236</f>
        <v>2921118.1500000004</v>
      </c>
      <c r="H236" s="35">
        <v>0</v>
      </c>
      <c r="I236" s="35"/>
      <c r="J236" s="35">
        <v>0</v>
      </c>
      <c r="K236" s="46">
        <f>F236*1724.9</f>
        <v>2921118.1500000004</v>
      </c>
      <c r="L236" s="35">
        <f>K236/F236</f>
        <v>1724.9000000000003</v>
      </c>
      <c r="M236" s="35">
        <v>0</v>
      </c>
      <c r="N236" s="35"/>
      <c r="O236" s="35">
        <v>0</v>
      </c>
      <c r="P236" s="35"/>
      <c r="Q236" s="35">
        <v>0</v>
      </c>
      <c r="R236" s="35"/>
      <c r="S236" s="35">
        <v>0</v>
      </c>
      <c r="T236" s="35">
        <v>0</v>
      </c>
      <c r="U236" s="35">
        <v>0</v>
      </c>
      <c r="V236" s="35">
        <v>0</v>
      </c>
      <c r="W236" s="46">
        <f>G236</f>
        <v>2921118.1500000004</v>
      </c>
      <c r="X236" s="165">
        <v>2016</v>
      </c>
      <c r="Y236" s="165">
        <v>2016</v>
      </c>
      <c r="Z236" s="176">
        <f t="shared" si="29"/>
        <v>115</v>
      </c>
    </row>
    <row r="237" spans="1:26" s="122" customFormat="1" ht="18" customHeight="1">
      <c r="A237" s="165">
        <f t="shared" si="28"/>
        <v>203</v>
      </c>
      <c r="B237" s="24" t="s">
        <v>388</v>
      </c>
      <c r="C237" s="148">
        <v>1987</v>
      </c>
      <c r="D237" s="165"/>
      <c r="E237" s="49">
        <v>6770.3</v>
      </c>
      <c r="F237" s="49">
        <v>6322.1</v>
      </c>
      <c r="G237" s="46">
        <f>H237+J237+K237+M237+O237+Q237+S237</f>
        <v>1068877.45</v>
      </c>
      <c r="H237" s="35">
        <f>ROUND(1068877.447,2)</f>
        <v>1068877.45</v>
      </c>
      <c r="I237" s="46">
        <f>H237/F237</f>
        <v>169.07000047452584</v>
      </c>
      <c r="J237" s="35">
        <v>0</v>
      </c>
      <c r="K237" s="35">
        <v>0</v>
      </c>
      <c r="L237" s="35">
        <f>K237/F237</f>
        <v>0</v>
      </c>
      <c r="M237" s="35">
        <v>0</v>
      </c>
      <c r="N237" s="35"/>
      <c r="O237" s="35">
        <v>0</v>
      </c>
      <c r="P237" s="35"/>
      <c r="Q237" s="35">
        <v>0</v>
      </c>
      <c r="R237" s="35"/>
      <c r="S237" s="35">
        <v>0</v>
      </c>
      <c r="T237" s="35">
        <v>0</v>
      </c>
      <c r="U237" s="35">
        <v>0</v>
      </c>
      <c r="V237" s="35">
        <v>0</v>
      </c>
      <c r="W237" s="46">
        <f>G237</f>
        <v>1068877.45</v>
      </c>
      <c r="X237" s="165">
        <v>2016</v>
      </c>
      <c r="Y237" s="165">
        <v>2016</v>
      </c>
      <c r="Z237" s="176">
        <f t="shared" si="29"/>
        <v>116</v>
      </c>
    </row>
    <row r="238" spans="1:26" s="122" customFormat="1" ht="15.75">
      <c r="A238" s="165">
        <f t="shared" si="28"/>
        <v>204</v>
      </c>
      <c r="B238" s="24" t="s">
        <v>386</v>
      </c>
      <c r="C238" s="148">
        <v>1942</v>
      </c>
      <c r="D238" s="165"/>
      <c r="E238" s="49">
        <v>4530.6000000000004</v>
      </c>
      <c r="F238" s="49">
        <v>3121.1</v>
      </c>
      <c r="G238" s="46">
        <f>H238+J238+K238+M238+O238+Q238+S238</f>
        <v>4978809.93</v>
      </c>
      <c r="H238" s="35">
        <v>0</v>
      </c>
      <c r="I238" s="35"/>
      <c r="J238" s="35">
        <v>0</v>
      </c>
      <c r="K238" s="46">
        <v>4978809.93</v>
      </c>
      <c r="L238" s="35">
        <f>K238/F238</f>
        <v>1595.2099996796001</v>
      </c>
      <c r="M238" s="35">
        <v>0</v>
      </c>
      <c r="N238" s="35"/>
      <c r="O238" s="35">
        <v>0</v>
      </c>
      <c r="P238" s="35"/>
      <c r="Q238" s="35">
        <v>0</v>
      </c>
      <c r="R238" s="35"/>
      <c r="S238" s="35">
        <v>0</v>
      </c>
      <c r="T238" s="35">
        <v>0</v>
      </c>
      <c r="U238" s="35">
        <v>0</v>
      </c>
      <c r="V238" s="35">
        <v>0</v>
      </c>
      <c r="W238" s="46">
        <f>G238</f>
        <v>4978809.93</v>
      </c>
      <c r="X238" s="165">
        <v>2016</v>
      </c>
      <c r="Y238" s="165">
        <v>2016</v>
      </c>
      <c r="Z238" s="176">
        <f t="shared" si="29"/>
        <v>117</v>
      </c>
    </row>
    <row r="239" spans="1:26" s="122" customFormat="1" ht="18" customHeight="1">
      <c r="A239" s="165">
        <f t="shared" si="28"/>
        <v>205</v>
      </c>
      <c r="B239" s="24" t="s">
        <v>387</v>
      </c>
      <c r="C239" s="148">
        <v>1935</v>
      </c>
      <c r="D239" s="165"/>
      <c r="E239" s="49">
        <v>4213.8</v>
      </c>
      <c r="F239" s="49">
        <v>2873</v>
      </c>
      <c r="G239" s="46">
        <f>H239+J239+K239+M239+O239+Q239+S239</f>
        <v>7117311.6300000008</v>
      </c>
      <c r="H239" s="35">
        <v>0</v>
      </c>
      <c r="I239" s="35"/>
      <c r="J239" s="35">
        <v>0</v>
      </c>
      <c r="K239" s="46">
        <v>4583038.33</v>
      </c>
      <c r="L239" s="35">
        <f>K239/F239</f>
        <v>1595.21</v>
      </c>
      <c r="M239" s="35">
        <v>0</v>
      </c>
      <c r="N239" s="35"/>
      <c r="O239" s="46">
        <v>2534273.3000000003</v>
      </c>
      <c r="P239" s="35">
        <f>O239/F239</f>
        <v>882.10000000000014</v>
      </c>
      <c r="Q239" s="35">
        <v>0</v>
      </c>
      <c r="R239" s="35"/>
      <c r="S239" s="35">
        <v>0</v>
      </c>
      <c r="T239" s="35">
        <v>0</v>
      </c>
      <c r="U239" s="35">
        <v>0</v>
      </c>
      <c r="V239" s="35">
        <v>0</v>
      </c>
      <c r="W239" s="46">
        <f>G239</f>
        <v>7117311.6300000008</v>
      </c>
      <c r="X239" s="165">
        <v>2016</v>
      </c>
      <c r="Y239" s="165">
        <v>2017</v>
      </c>
      <c r="Z239" s="176">
        <f t="shared" si="29"/>
        <v>118</v>
      </c>
    </row>
    <row r="240" spans="1:26" s="122" customFormat="1" ht="18" customHeight="1">
      <c r="A240" s="165">
        <f t="shared" si="28"/>
        <v>206</v>
      </c>
      <c r="B240" s="24" t="s">
        <v>389</v>
      </c>
      <c r="C240" s="148">
        <v>1959</v>
      </c>
      <c r="D240" s="165" t="s">
        <v>596</v>
      </c>
      <c r="E240" s="49">
        <v>4890.8999999999996</v>
      </c>
      <c r="F240" s="49">
        <v>3757.8</v>
      </c>
      <c r="G240" s="46">
        <f>H240+J240+K240+M240+O240+Q240+S240</f>
        <v>9309235.5199999996</v>
      </c>
      <c r="H240" s="35">
        <v>0</v>
      </c>
      <c r="I240" s="46">
        <f>H240/F240</f>
        <v>0</v>
      </c>
      <c r="J240" s="35">
        <v>0</v>
      </c>
      <c r="K240" s="46">
        <v>5994480.1399999997</v>
      </c>
      <c r="L240" s="35">
        <f>K240/F240</f>
        <v>1595.2100005322261</v>
      </c>
      <c r="M240" s="35">
        <v>0</v>
      </c>
      <c r="N240" s="35"/>
      <c r="O240" s="46">
        <v>3314755.38</v>
      </c>
      <c r="P240" s="35">
        <f>O240/F240</f>
        <v>882.09999999999991</v>
      </c>
      <c r="Q240" s="35">
        <v>0</v>
      </c>
      <c r="R240" s="35"/>
      <c r="S240" s="35">
        <v>0</v>
      </c>
      <c r="T240" s="35">
        <v>0</v>
      </c>
      <c r="U240" s="35">
        <v>0</v>
      </c>
      <c r="V240" s="35">
        <v>0</v>
      </c>
      <c r="W240" s="46">
        <f>G240</f>
        <v>9309235.5199999996</v>
      </c>
      <c r="X240" s="165">
        <v>2016</v>
      </c>
      <c r="Y240" s="165">
        <v>2017</v>
      </c>
      <c r="Z240" s="176">
        <f t="shared" si="29"/>
        <v>119</v>
      </c>
    </row>
    <row r="241" spans="1:26" s="122" customFormat="1" ht="18" customHeight="1">
      <c r="A241" s="165">
        <f t="shared" si="28"/>
        <v>207</v>
      </c>
      <c r="B241" s="24" t="s">
        <v>627</v>
      </c>
      <c r="C241" s="148">
        <v>1949</v>
      </c>
      <c r="D241" s="165"/>
      <c r="E241" s="126">
        <v>4115</v>
      </c>
      <c r="F241" s="49">
        <v>2960.3</v>
      </c>
      <c r="G241" s="46">
        <f>H241+J241+K241+M241+O241+Q241+S241</f>
        <v>3203044.5999999996</v>
      </c>
      <c r="H241" s="46">
        <v>0</v>
      </c>
      <c r="I241" s="46"/>
      <c r="J241" s="46">
        <v>0</v>
      </c>
      <c r="K241" s="46">
        <v>0</v>
      </c>
      <c r="L241" s="35">
        <f>K241/F241</f>
        <v>0</v>
      </c>
      <c r="M241" s="46">
        <v>0</v>
      </c>
      <c r="N241" s="46"/>
      <c r="O241" s="46">
        <f>ROUND(2960.3*1082,2)-S241</f>
        <v>3070463.34</v>
      </c>
      <c r="P241" s="35">
        <f>O241/F241</f>
        <v>1037.2135729486874</v>
      </c>
      <c r="Q241" s="46">
        <v>0</v>
      </c>
      <c r="R241" s="46"/>
      <c r="S241" s="46">
        <v>132581.26</v>
      </c>
      <c r="T241" s="46">
        <v>0</v>
      </c>
      <c r="U241" s="46">
        <v>0</v>
      </c>
      <c r="V241" s="46">
        <v>0</v>
      </c>
      <c r="W241" s="46">
        <f>G241</f>
        <v>3203044.5999999996</v>
      </c>
      <c r="X241" s="165">
        <v>2015</v>
      </c>
      <c r="Y241" s="165">
        <v>2017</v>
      </c>
      <c r="Z241" s="176">
        <f t="shared" si="29"/>
        <v>120</v>
      </c>
    </row>
    <row r="242" spans="1:26" s="122" customFormat="1" ht="18" customHeight="1">
      <c r="A242" s="165">
        <f t="shared" ref="A242:A289" si="30">A241+1</f>
        <v>208</v>
      </c>
      <c r="B242" s="24" t="s">
        <v>178</v>
      </c>
      <c r="C242" s="148">
        <v>1962</v>
      </c>
      <c r="D242" s="51"/>
      <c r="E242" s="126">
        <v>3053</v>
      </c>
      <c r="F242" s="49">
        <v>3028.2</v>
      </c>
      <c r="G242" s="46">
        <f>H242+J242+K242+M242+O242+Q242+S242</f>
        <v>3115565.55</v>
      </c>
      <c r="H242" s="46">
        <v>0</v>
      </c>
      <c r="I242" s="46"/>
      <c r="J242" s="46">
        <v>0</v>
      </c>
      <c r="K242" s="46">
        <v>3115565.55</v>
      </c>
      <c r="L242" s="35">
        <f>K242/F242</f>
        <v>1028.8506538537745</v>
      </c>
      <c r="M242" s="46">
        <v>0</v>
      </c>
      <c r="N242" s="46"/>
      <c r="O242" s="46">
        <v>0</v>
      </c>
      <c r="P242" s="46"/>
      <c r="Q242" s="46">
        <v>0</v>
      </c>
      <c r="R242" s="46"/>
      <c r="S242" s="46">
        <v>0</v>
      </c>
      <c r="T242" s="46">
        <v>0</v>
      </c>
      <c r="U242" s="46">
        <v>0</v>
      </c>
      <c r="V242" s="46">
        <v>0</v>
      </c>
      <c r="W242" s="46">
        <f>G242</f>
        <v>3115565.55</v>
      </c>
      <c r="X242" s="165">
        <v>2015</v>
      </c>
      <c r="Y242" s="165">
        <v>2016</v>
      </c>
      <c r="Z242" s="176">
        <f t="shared" si="29"/>
        <v>121</v>
      </c>
    </row>
    <row r="243" spans="1:26" s="122" customFormat="1" ht="18" customHeight="1">
      <c r="A243" s="165">
        <f t="shared" si="30"/>
        <v>209</v>
      </c>
      <c r="B243" s="24" t="s">
        <v>176</v>
      </c>
      <c r="C243" s="148">
        <v>1962</v>
      </c>
      <c r="D243" s="51"/>
      <c r="E243" s="126">
        <v>886.2</v>
      </c>
      <c r="F243" s="49">
        <v>827.5</v>
      </c>
      <c r="G243" s="46">
        <f>H243+J243+K243+M243+O243+Q243+S243</f>
        <v>2040150</v>
      </c>
      <c r="H243" s="46">
        <v>0</v>
      </c>
      <c r="I243" s="46"/>
      <c r="J243" s="46">
        <v>0</v>
      </c>
      <c r="K243" s="46">
        <v>2040150</v>
      </c>
      <c r="L243" s="35">
        <f>K243/F243</f>
        <v>2465.4380664652567</v>
      </c>
      <c r="M243" s="46">
        <v>0</v>
      </c>
      <c r="N243" s="46"/>
      <c r="O243" s="46">
        <v>0</v>
      </c>
      <c r="P243" s="46"/>
      <c r="Q243" s="46">
        <v>0</v>
      </c>
      <c r="R243" s="46"/>
      <c r="S243" s="46">
        <v>0</v>
      </c>
      <c r="T243" s="46">
        <v>0</v>
      </c>
      <c r="U243" s="46">
        <v>0</v>
      </c>
      <c r="V243" s="46">
        <v>0</v>
      </c>
      <c r="W243" s="46">
        <f>G243</f>
        <v>2040150</v>
      </c>
      <c r="X243" s="165">
        <v>2015</v>
      </c>
      <c r="Y243" s="165">
        <v>2016</v>
      </c>
      <c r="Z243" s="176">
        <f t="shared" si="29"/>
        <v>122</v>
      </c>
    </row>
    <row r="244" spans="1:26" s="122" customFormat="1" ht="18" customHeight="1">
      <c r="A244" s="165">
        <f t="shared" si="30"/>
        <v>210</v>
      </c>
      <c r="B244" s="24" t="s">
        <v>621</v>
      </c>
      <c r="C244" s="148">
        <v>1951</v>
      </c>
      <c r="D244" s="51"/>
      <c r="E244" s="126">
        <f>696.6+12</f>
        <v>708.6</v>
      </c>
      <c r="F244" s="49">
        <f>696.6</f>
        <v>696.6</v>
      </c>
      <c r="G244" s="46">
        <f>H244+J244+K244+M244+O244+Q244+S244</f>
        <v>251423.84</v>
      </c>
      <c r="H244" s="46">
        <f>ROUND(360.93*696.6,2)-S244</f>
        <v>237681.01</v>
      </c>
      <c r="I244" s="46">
        <f>H244/F244</f>
        <v>341.20156474303764</v>
      </c>
      <c r="J244" s="46">
        <v>0</v>
      </c>
      <c r="K244" s="46">
        <v>0</v>
      </c>
      <c r="L244" s="35">
        <f>K244/F244</f>
        <v>0</v>
      </c>
      <c r="M244" s="46">
        <v>0</v>
      </c>
      <c r="N244" s="46"/>
      <c r="O244" s="46">
        <v>0</v>
      </c>
      <c r="P244" s="46"/>
      <c r="Q244" s="46">
        <v>0</v>
      </c>
      <c r="R244" s="46"/>
      <c r="S244" s="46">
        <v>13742.83</v>
      </c>
      <c r="T244" s="46">
        <v>0</v>
      </c>
      <c r="U244" s="46">
        <v>0</v>
      </c>
      <c r="V244" s="46">
        <v>0</v>
      </c>
      <c r="W244" s="46">
        <f>G244</f>
        <v>251423.84</v>
      </c>
      <c r="X244" s="165">
        <v>2015</v>
      </c>
      <c r="Y244" s="165">
        <v>2017</v>
      </c>
      <c r="Z244" s="176">
        <f t="shared" si="29"/>
        <v>123</v>
      </c>
    </row>
    <row r="245" spans="1:26" s="122" customFormat="1" ht="18" customHeight="1">
      <c r="A245" s="165">
        <f t="shared" si="30"/>
        <v>211</v>
      </c>
      <c r="B245" s="24" t="s">
        <v>391</v>
      </c>
      <c r="C245" s="148">
        <v>1958</v>
      </c>
      <c r="D245" s="165"/>
      <c r="E245" s="49">
        <v>4889.8</v>
      </c>
      <c r="F245" s="49">
        <v>3613.9</v>
      </c>
      <c r="G245" s="46">
        <f>H245+J245+K245+M245+O245+Q245+S245</f>
        <v>5764929.4199999999</v>
      </c>
      <c r="H245" s="35">
        <v>0</v>
      </c>
      <c r="I245" s="46">
        <f>H245/F245</f>
        <v>0</v>
      </c>
      <c r="J245" s="35">
        <v>0</v>
      </c>
      <c r="K245" s="46">
        <v>5764929.4199999999</v>
      </c>
      <c r="L245" s="35">
        <f>K245/F245</f>
        <v>1595.2100002767093</v>
      </c>
      <c r="M245" s="35">
        <v>0</v>
      </c>
      <c r="N245" s="35"/>
      <c r="O245" s="35">
        <v>0</v>
      </c>
      <c r="P245" s="35"/>
      <c r="Q245" s="35">
        <v>0</v>
      </c>
      <c r="R245" s="35"/>
      <c r="S245" s="35">
        <v>0</v>
      </c>
      <c r="T245" s="35">
        <v>0</v>
      </c>
      <c r="U245" s="35">
        <v>0</v>
      </c>
      <c r="V245" s="35">
        <v>0</v>
      </c>
      <c r="W245" s="46">
        <f>G245</f>
        <v>5764929.4199999999</v>
      </c>
      <c r="X245" s="165">
        <v>2016</v>
      </c>
      <c r="Y245" s="165">
        <v>2017</v>
      </c>
      <c r="Z245" s="176">
        <f t="shared" si="29"/>
        <v>124</v>
      </c>
    </row>
    <row r="246" spans="1:26" s="122" customFormat="1" ht="18" customHeight="1">
      <c r="A246" s="165">
        <f t="shared" si="30"/>
        <v>212</v>
      </c>
      <c r="B246" s="24" t="s">
        <v>180</v>
      </c>
      <c r="C246" s="148">
        <v>1992</v>
      </c>
      <c r="D246" s="51"/>
      <c r="E246" s="126">
        <v>2411.9</v>
      </c>
      <c r="F246" s="49">
        <v>2375.6999999999998</v>
      </c>
      <c r="G246" s="46">
        <f>H246+J246+K246+M246+O246+Q246+S246</f>
        <v>510775.5</v>
      </c>
      <c r="H246" s="46">
        <f>ROUND(215*2375.7,2)</f>
        <v>510775.5</v>
      </c>
      <c r="I246" s="46">
        <f>H246/F246</f>
        <v>215.00000000000003</v>
      </c>
      <c r="J246" s="46">
        <v>0</v>
      </c>
      <c r="K246" s="46">
        <v>0</v>
      </c>
      <c r="L246" s="35">
        <f>K246/F246</f>
        <v>0</v>
      </c>
      <c r="M246" s="46">
        <v>0</v>
      </c>
      <c r="N246" s="46"/>
      <c r="O246" s="46">
        <v>0</v>
      </c>
      <c r="P246" s="46"/>
      <c r="Q246" s="46">
        <v>0</v>
      </c>
      <c r="R246" s="46"/>
      <c r="S246" s="46">
        <v>0</v>
      </c>
      <c r="T246" s="46">
        <v>0</v>
      </c>
      <c r="U246" s="46">
        <v>0</v>
      </c>
      <c r="V246" s="46">
        <v>0</v>
      </c>
      <c r="W246" s="46">
        <f>G246</f>
        <v>510775.5</v>
      </c>
      <c r="X246" s="165">
        <v>2015</v>
      </c>
      <c r="Y246" s="165">
        <v>2016</v>
      </c>
      <c r="Z246" s="176">
        <f t="shared" si="29"/>
        <v>125</v>
      </c>
    </row>
    <row r="247" spans="1:26" s="122" customFormat="1" ht="18" customHeight="1">
      <c r="A247" s="165">
        <f t="shared" si="30"/>
        <v>213</v>
      </c>
      <c r="B247" s="24" t="s">
        <v>622</v>
      </c>
      <c r="C247" s="148">
        <v>1958</v>
      </c>
      <c r="D247" s="51"/>
      <c r="E247" s="126">
        <f>758.3+18</f>
        <v>776.3</v>
      </c>
      <c r="F247" s="49">
        <f>758.3</f>
        <v>758.3</v>
      </c>
      <c r="G247" s="46">
        <f>H247+J247+K247+M247+O247+Q247+S247</f>
        <v>273693.21999999997</v>
      </c>
      <c r="H247" s="46">
        <f>ROUND(360.93*758.3,2)-S247</f>
        <v>257271.62999999998</v>
      </c>
      <c r="I247" s="46">
        <f>H247/F247</f>
        <v>339.27420545958063</v>
      </c>
      <c r="J247" s="46">
        <v>0</v>
      </c>
      <c r="K247" s="46">
        <v>0</v>
      </c>
      <c r="L247" s="35">
        <f>K247/F247</f>
        <v>0</v>
      </c>
      <c r="M247" s="46">
        <v>0</v>
      </c>
      <c r="N247" s="46"/>
      <c r="O247" s="46">
        <v>0</v>
      </c>
      <c r="P247" s="46"/>
      <c r="Q247" s="46">
        <v>0</v>
      </c>
      <c r="R247" s="46"/>
      <c r="S247" s="46">
        <v>16421.59</v>
      </c>
      <c r="T247" s="46">
        <v>0</v>
      </c>
      <c r="U247" s="46">
        <v>0</v>
      </c>
      <c r="V247" s="46">
        <v>0</v>
      </c>
      <c r="W247" s="46">
        <f>G247</f>
        <v>273693.21999999997</v>
      </c>
      <c r="X247" s="165">
        <v>2015</v>
      </c>
      <c r="Y247" s="165">
        <v>2017</v>
      </c>
      <c r="Z247" s="176">
        <f t="shared" si="29"/>
        <v>126</v>
      </c>
    </row>
    <row r="248" spans="1:26" s="122" customFormat="1" ht="18" customHeight="1">
      <c r="A248" s="165">
        <f t="shared" si="30"/>
        <v>214</v>
      </c>
      <c r="B248" s="24" t="s">
        <v>390</v>
      </c>
      <c r="C248" s="148">
        <v>1963</v>
      </c>
      <c r="D248" s="165"/>
      <c r="E248" s="49">
        <v>2551.6</v>
      </c>
      <c r="F248" s="49">
        <v>2344.8000000000002</v>
      </c>
      <c r="G248" s="46">
        <f>H248+J248+K248+M248+O248+Q248+S248</f>
        <v>504132.00000000006</v>
      </c>
      <c r="H248" s="35">
        <v>504132.00000000006</v>
      </c>
      <c r="I248" s="46">
        <f>H248/F248</f>
        <v>215</v>
      </c>
      <c r="J248" s="35">
        <v>0</v>
      </c>
      <c r="K248" s="35">
        <v>0</v>
      </c>
      <c r="L248" s="35">
        <f>K248/F248</f>
        <v>0</v>
      </c>
      <c r="M248" s="35">
        <v>0</v>
      </c>
      <c r="N248" s="35"/>
      <c r="O248" s="35">
        <v>0</v>
      </c>
      <c r="P248" s="35"/>
      <c r="Q248" s="35">
        <v>0</v>
      </c>
      <c r="R248" s="35"/>
      <c r="S248" s="35">
        <v>0</v>
      </c>
      <c r="T248" s="35">
        <v>0</v>
      </c>
      <c r="U248" s="35">
        <v>0</v>
      </c>
      <c r="V248" s="35">
        <v>0</v>
      </c>
      <c r="W248" s="46">
        <f>G248</f>
        <v>504132.00000000006</v>
      </c>
      <c r="X248" s="165">
        <v>2016</v>
      </c>
      <c r="Y248" s="165">
        <v>2016</v>
      </c>
      <c r="Z248" s="176">
        <f t="shared" ref="Z248:Z289" si="31">Z247+1</f>
        <v>127</v>
      </c>
    </row>
    <row r="249" spans="1:26" s="122" customFormat="1" ht="18" customHeight="1">
      <c r="A249" s="165">
        <f t="shared" si="30"/>
        <v>215</v>
      </c>
      <c r="B249" s="24" t="s">
        <v>181</v>
      </c>
      <c r="C249" s="148">
        <v>1948</v>
      </c>
      <c r="D249" s="51"/>
      <c r="E249" s="126">
        <v>1027.5</v>
      </c>
      <c r="F249" s="49">
        <f>1027.5-9</f>
        <v>1018.5</v>
      </c>
      <c r="G249" s="46">
        <f>H249+J249+K249+M249+O249+Q249+S249</f>
        <v>1116500</v>
      </c>
      <c r="H249" s="46">
        <v>0</v>
      </c>
      <c r="I249" s="46"/>
      <c r="J249" s="46">
        <v>0</v>
      </c>
      <c r="K249" s="46">
        <v>1116500</v>
      </c>
      <c r="L249" s="35">
        <f>K249/F249</f>
        <v>1096.2199312714777</v>
      </c>
      <c r="M249" s="46">
        <v>0</v>
      </c>
      <c r="N249" s="46"/>
      <c r="O249" s="46">
        <v>0</v>
      </c>
      <c r="P249" s="46"/>
      <c r="Q249" s="46">
        <v>0</v>
      </c>
      <c r="R249" s="46"/>
      <c r="S249" s="46">
        <v>0</v>
      </c>
      <c r="T249" s="46">
        <v>0</v>
      </c>
      <c r="U249" s="46">
        <v>0</v>
      </c>
      <c r="V249" s="46">
        <v>0</v>
      </c>
      <c r="W249" s="46">
        <f>G249</f>
        <v>1116500</v>
      </c>
      <c r="X249" s="165">
        <v>2015</v>
      </c>
      <c r="Y249" s="165">
        <v>2016</v>
      </c>
      <c r="Z249" s="176">
        <f t="shared" si="31"/>
        <v>128</v>
      </c>
    </row>
    <row r="250" spans="1:26" s="122" customFormat="1" ht="18" customHeight="1">
      <c r="A250" s="165">
        <f t="shared" si="30"/>
        <v>216</v>
      </c>
      <c r="B250" s="24" t="s">
        <v>632</v>
      </c>
      <c r="C250" s="148">
        <v>1955</v>
      </c>
      <c r="D250" s="165"/>
      <c r="E250" s="49">
        <v>3245.4</v>
      </c>
      <c r="F250" s="49">
        <v>2284.9</v>
      </c>
      <c r="G250" s="46">
        <f>H250+J250+K250+M250+O250+Q250+S250</f>
        <v>2472261.8000000003</v>
      </c>
      <c r="H250" s="35">
        <v>0</v>
      </c>
      <c r="I250" s="46">
        <f>H250/F250</f>
        <v>0</v>
      </c>
      <c r="J250" s="35">
        <v>0</v>
      </c>
      <c r="K250" s="35">
        <v>0</v>
      </c>
      <c r="L250" s="35">
        <f>K250/F250</f>
        <v>0</v>
      </c>
      <c r="M250" s="35">
        <v>0</v>
      </c>
      <c r="N250" s="35"/>
      <c r="O250" s="46">
        <f>F250*1082-S250</f>
        <v>2335705.12</v>
      </c>
      <c r="P250" s="35">
        <f>O250/F250</f>
        <v>1022.2351612762046</v>
      </c>
      <c r="Q250" s="35">
        <v>0</v>
      </c>
      <c r="R250" s="35"/>
      <c r="S250" s="46">
        <v>136556.68</v>
      </c>
      <c r="T250" s="35">
        <v>0</v>
      </c>
      <c r="U250" s="35">
        <v>0</v>
      </c>
      <c r="V250" s="35">
        <v>0</v>
      </c>
      <c r="W250" s="46">
        <f>G250</f>
        <v>2472261.8000000003</v>
      </c>
      <c r="X250" s="165">
        <v>2016</v>
      </c>
      <c r="Y250" s="165">
        <v>2017</v>
      </c>
      <c r="Z250" s="176">
        <f t="shared" si="31"/>
        <v>129</v>
      </c>
    </row>
    <row r="251" spans="1:26" s="122" customFormat="1" ht="18" customHeight="1">
      <c r="A251" s="165">
        <f t="shared" si="30"/>
        <v>217</v>
      </c>
      <c r="B251" s="24" t="s">
        <v>623</v>
      </c>
      <c r="C251" s="148">
        <v>1948</v>
      </c>
      <c r="D251" s="51"/>
      <c r="E251" s="126">
        <v>1445.8</v>
      </c>
      <c r="F251" s="49">
        <v>828.4</v>
      </c>
      <c r="G251" s="46">
        <f>H251+J251+K251+M251+O251+Q251+S251</f>
        <v>4352165.08</v>
      </c>
      <c r="H251" s="46">
        <v>0</v>
      </c>
      <c r="I251" s="46"/>
      <c r="J251" s="46">
        <v>0</v>
      </c>
      <c r="K251" s="46">
        <f>ROUND(F251*3980.76,2)</f>
        <v>3297661.58</v>
      </c>
      <c r="L251" s="35">
        <f>K251/F251</f>
        <v>3980.7599951714151</v>
      </c>
      <c r="M251" s="46">
        <v>0</v>
      </c>
      <c r="N251" s="46"/>
      <c r="O251" s="46">
        <f>ROUND(F251*1272.94,2)-S251</f>
        <v>991233.29</v>
      </c>
      <c r="P251" s="35">
        <f>O251/F251</f>
        <v>1196.5636045388701</v>
      </c>
      <c r="Q251" s="46">
        <v>0</v>
      </c>
      <c r="R251" s="46"/>
      <c r="S251" s="46">
        <v>63270.21</v>
      </c>
      <c r="T251" s="46">
        <v>0</v>
      </c>
      <c r="U251" s="46">
        <v>0</v>
      </c>
      <c r="V251" s="46">
        <v>0</v>
      </c>
      <c r="W251" s="46">
        <f>G251</f>
        <v>4352165.08</v>
      </c>
      <c r="X251" s="165">
        <v>2015</v>
      </c>
      <c r="Y251" s="165">
        <v>2017</v>
      </c>
      <c r="Z251" s="176">
        <f t="shared" si="31"/>
        <v>130</v>
      </c>
    </row>
    <row r="252" spans="1:26" s="122" customFormat="1" ht="18" customHeight="1">
      <c r="A252" s="165">
        <f t="shared" si="30"/>
        <v>218</v>
      </c>
      <c r="B252" s="24" t="s">
        <v>392</v>
      </c>
      <c r="C252" s="148">
        <v>1963</v>
      </c>
      <c r="D252" s="165"/>
      <c r="E252" s="49">
        <v>2998.7</v>
      </c>
      <c r="F252" s="49">
        <v>2982.5</v>
      </c>
      <c r="G252" s="46">
        <f>H252+J252+K252+M252+O252+Q252+S252</f>
        <v>958724.63</v>
      </c>
      <c r="H252" s="35">
        <f>ROUND(958724.625,2)</f>
        <v>958724.63</v>
      </c>
      <c r="I252" s="46">
        <f>H252/F252</f>
        <v>321.45000167644594</v>
      </c>
      <c r="J252" s="35">
        <v>0</v>
      </c>
      <c r="K252" s="35">
        <v>0</v>
      </c>
      <c r="L252" s="35">
        <f>K252/F252</f>
        <v>0</v>
      </c>
      <c r="M252" s="35">
        <v>0</v>
      </c>
      <c r="N252" s="35"/>
      <c r="O252" s="35">
        <v>0</v>
      </c>
      <c r="P252" s="35"/>
      <c r="Q252" s="35">
        <v>0</v>
      </c>
      <c r="R252" s="35"/>
      <c r="S252" s="35">
        <v>0</v>
      </c>
      <c r="T252" s="35">
        <v>0</v>
      </c>
      <c r="U252" s="35">
        <v>0</v>
      </c>
      <c r="V252" s="35">
        <v>0</v>
      </c>
      <c r="W252" s="46">
        <f>G252</f>
        <v>958724.63</v>
      </c>
      <c r="X252" s="165">
        <v>2016</v>
      </c>
      <c r="Y252" s="165">
        <v>2016</v>
      </c>
      <c r="Z252" s="176">
        <f t="shared" si="31"/>
        <v>131</v>
      </c>
    </row>
    <row r="253" spans="1:26" s="122" customFormat="1" ht="18" customHeight="1">
      <c r="A253" s="165">
        <f t="shared" si="30"/>
        <v>219</v>
      </c>
      <c r="B253" s="24" t="s">
        <v>393</v>
      </c>
      <c r="C253" s="148">
        <v>1963</v>
      </c>
      <c r="D253" s="165"/>
      <c r="E253" s="49">
        <v>3807</v>
      </c>
      <c r="F253" s="49">
        <v>3208.3</v>
      </c>
      <c r="G253" s="46">
        <f>H253+J253+K253+M253+O253+Q253+S253</f>
        <v>1031308.04</v>
      </c>
      <c r="H253" s="35">
        <v>1031308.04</v>
      </c>
      <c r="I253" s="46">
        <f>H253/F253</f>
        <v>321.45000155845776</v>
      </c>
      <c r="J253" s="35">
        <v>0</v>
      </c>
      <c r="K253" s="35">
        <v>0</v>
      </c>
      <c r="L253" s="35">
        <f>K253/F253</f>
        <v>0</v>
      </c>
      <c r="M253" s="35">
        <v>0</v>
      </c>
      <c r="N253" s="35"/>
      <c r="O253" s="35">
        <v>0</v>
      </c>
      <c r="P253" s="35"/>
      <c r="Q253" s="35">
        <v>0</v>
      </c>
      <c r="R253" s="35"/>
      <c r="S253" s="35">
        <v>0</v>
      </c>
      <c r="T253" s="35">
        <v>0</v>
      </c>
      <c r="U253" s="35">
        <v>0</v>
      </c>
      <c r="V253" s="35">
        <v>0</v>
      </c>
      <c r="W253" s="46">
        <f>G253</f>
        <v>1031308.04</v>
      </c>
      <c r="X253" s="165">
        <v>2016</v>
      </c>
      <c r="Y253" s="165">
        <v>2016</v>
      </c>
      <c r="Z253" s="176">
        <f t="shared" si="31"/>
        <v>132</v>
      </c>
    </row>
    <row r="254" spans="1:26" s="122" customFormat="1" ht="18" customHeight="1">
      <c r="A254" s="165">
        <f t="shared" si="30"/>
        <v>220</v>
      </c>
      <c r="B254" s="24" t="s">
        <v>394</v>
      </c>
      <c r="C254" s="148">
        <v>1963</v>
      </c>
      <c r="D254" s="165"/>
      <c r="E254" s="49">
        <v>3033.6</v>
      </c>
      <c r="F254" s="49">
        <v>2791.6</v>
      </c>
      <c r="G254" s="46">
        <f>H254+J254+K254+M254+O254+Q254+S254</f>
        <v>897359.82</v>
      </c>
      <c r="H254" s="35">
        <v>897359.82</v>
      </c>
      <c r="I254" s="46">
        <f>H254/F254</f>
        <v>321.45</v>
      </c>
      <c r="J254" s="35">
        <v>0</v>
      </c>
      <c r="K254" s="35">
        <v>0</v>
      </c>
      <c r="L254" s="35">
        <f>K254/F254</f>
        <v>0</v>
      </c>
      <c r="M254" s="35">
        <v>0</v>
      </c>
      <c r="N254" s="35"/>
      <c r="O254" s="35">
        <v>0</v>
      </c>
      <c r="P254" s="35"/>
      <c r="Q254" s="35">
        <v>0</v>
      </c>
      <c r="R254" s="35"/>
      <c r="S254" s="35">
        <v>0</v>
      </c>
      <c r="T254" s="35">
        <v>0</v>
      </c>
      <c r="U254" s="35">
        <v>0</v>
      </c>
      <c r="V254" s="35">
        <v>0</v>
      </c>
      <c r="W254" s="46">
        <f>G254</f>
        <v>897359.82</v>
      </c>
      <c r="X254" s="165">
        <v>2016</v>
      </c>
      <c r="Y254" s="165">
        <v>2016</v>
      </c>
      <c r="Z254" s="176">
        <f t="shared" si="31"/>
        <v>133</v>
      </c>
    </row>
    <row r="255" spans="1:26" s="122" customFormat="1" ht="18" customHeight="1">
      <c r="A255" s="165">
        <f t="shared" si="30"/>
        <v>221</v>
      </c>
      <c r="B255" s="24" t="s">
        <v>395</v>
      </c>
      <c r="C255" s="148">
        <v>1964</v>
      </c>
      <c r="D255" s="165"/>
      <c r="E255" s="49">
        <v>3220.7</v>
      </c>
      <c r="F255" s="49">
        <v>2654.6</v>
      </c>
      <c r="G255" s="46">
        <f>H255+J255+K255+M255+O255+Q255+S255</f>
        <v>4234644.47</v>
      </c>
      <c r="H255" s="35">
        <v>0</v>
      </c>
      <c r="I255" s="35"/>
      <c r="J255" s="35">
        <v>0</v>
      </c>
      <c r="K255" s="46">
        <v>4234644.47</v>
      </c>
      <c r="L255" s="35">
        <f>K255/F255</f>
        <v>1595.2100015068183</v>
      </c>
      <c r="M255" s="35">
        <v>0</v>
      </c>
      <c r="N255" s="35"/>
      <c r="O255" s="35">
        <v>0</v>
      </c>
      <c r="P255" s="35"/>
      <c r="Q255" s="35">
        <v>0</v>
      </c>
      <c r="R255" s="35"/>
      <c r="S255" s="35">
        <v>0</v>
      </c>
      <c r="T255" s="35">
        <v>0</v>
      </c>
      <c r="U255" s="35">
        <v>0</v>
      </c>
      <c r="V255" s="35">
        <v>0</v>
      </c>
      <c r="W255" s="46">
        <f>G255</f>
        <v>4234644.47</v>
      </c>
      <c r="X255" s="165">
        <v>2016</v>
      </c>
      <c r="Y255" s="165">
        <v>2016</v>
      </c>
      <c r="Z255" s="176">
        <f t="shared" si="31"/>
        <v>134</v>
      </c>
    </row>
    <row r="256" spans="1:26" s="122" customFormat="1" ht="18" customHeight="1">
      <c r="A256" s="165">
        <f t="shared" si="30"/>
        <v>222</v>
      </c>
      <c r="B256" s="24" t="s">
        <v>396</v>
      </c>
      <c r="C256" s="148">
        <v>1967</v>
      </c>
      <c r="D256" s="165"/>
      <c r="E256" s="49">
        <v>5247.7</v>
      </c>
      <c r="F256" s="49">
        <v>4826</v>
      </c>
      <c r="G256" s="46">
        <f>H256+J256+K256+M256+O256+Q256+S256</f>
        <v>4413570.04</v>
      </c>
      <c r="H256" s="35">
        <v>0</v>
      </c>
      <c r="I256" s="35"/>
      <c r="J256" s="35">
        <v>0</v>
      </c>
      <c r="K256" s="46">
        <v>4413570.04</v>
      </c>
      <c r="L256" s="35">
        <f>K256/F256</f>
        <v>914.54</v>
      </c>
      <c r="M256" s="35">
        <v>0</v>
      </c>
      <c r="N256" s="35"/>
      <c r="O256" s="35">
        <v>0</v>
      </c>
      <c r="P256" s="35"/>
      <c r="Q256" s="35">
        <v>0</v>
      </c>
      <c r="R256" s="35"/>
      <c r="S256" s="35">
        <v>0</v>
      </c>
      <c r="T256" s="35">
        <v>0</v>
      </c>
      <c r="U256" s="35">
        <v>0</v>
      </c>
      <c r="V256" s="35">
        <v>0</v>
      </c>
      <c r="W256" s="46">
        <f>G256</f>
        <v>4413570.04</v>
      </c>
      <c r="X256" s="165">
        <v>2016</v>
      </c>
      <c r="Y256" s="165">
        <v>2016</v>
      </c>
      <c r="Z256" s="176">
        <f t="shared" si="31"/>
        <v>135</v>
      </c>
    </row>
    <row r="257" spans="1:26" s="122" customFormat="1" ht="18" customHeight="1">
      <c r="A257" s="165">
        <f t="shared" si="30"/>
        <v>223</v>
      </c>
      <c r="B257" s="24" t="s">
        <v>397</v>
      </c>
      <c r="C257" s="148">
        <v>1978</v>
      </c>
      <c r="D257" s="165"/>
      <c r="E257" s="49">
        <v>3126.2</v>
      </c>
      <c r="F257" s="49">
        <v>2942.6</v>
      </c>
      <c r="G257" s="46">
        <f>H257+J257+K257+M257+O257+Q257+S257</f>
        <v>2691125.4</v>
      </c>
      <c r="H257" s="35">
        <v>0</v>
      </c>
      <c r="I257" s="35"/>
      <c r="J257" s="35">
        <v>0</v>
      </c>
      <c r="K257" s="46">
        <v>2691125.4</v>
      </c>
      <c r="L257" s="35">
        <f>K257/F257</f>
        <v>914.53999864065793</v>
      </c>
      <c r="M257" s="35">
        <v>0</v>
      </c>
      <c r="N257" s="35"/>
      <c r="O257" s="35">
        <v>0</v>
      </c>
      <c r="P257" s="35"/>
      <c r="Q257" s="35">
        <v>0</v>
      </c>
      <c r="R257" s="35"/>
      <c r="S257" s="35">
        <v>0</v>
      </c>
      <c r="T257" s="35">
        <v>0</v>
      </c>
      <c r="U257" s="35">
        <v>0</v>
      </c>
      <c r="V257" s="35">
        <v>0</v>
      </c>
      <c r="W257" s="46">
        <f>G257</f>
        <v>2691125.4</v>
      </c>
      <c r="X257" s="165">
        <v>2016</v>
      </c>
      <c r="Y257" s="165">
        <v>2016</v>
      </c>
      <c r="Z257" s="176">
        <f t="shared" si="31"/>
        <v>136</v>
      </c>
    </row>
    <row r="258" spans="1:26" s="122" customFormat="1" ht="18" customHeight="1">
      <c r="A258" s="165">
        <f t="shared" si="30"/>
        <v>224</v>
      </c>
      <c r="B258" s="24" t="s">
        <v>624</v>
      </c>
      <c r="C258" s="148">
        <v>1959</v>
      </c>
      <c r="D258" s="51"/>
      <c r="E258" s="126">
        <f>624.4+12</f>
        <v>636.4</v>
      </c>
      <c r="F258" s="49">
        <f>624.4</f>
        <v>624.4</v>
      </c>
      <c r="G258" s="46">
        <f>H258+J258+K258+M258+O258+Q258+S258</f>
        <v>441669.34</v>
      </c>
      <c r="H258" s="46">
        <f>ROUND(624.4*707.35,2)-S258</f>
        <v>415169.18000000005</v>
      </c>
      <c r="I258" s="46">
        <f>H258/F258</f>
        <v>664.90900064061509</v>
      </c>
      <c r="J258" s="46">
        <v>0</v>
      </c>
      <c r="K258" s="46">
        <v>0</v>
      </c>
      <c r="L258" s="35">
        <f>K258/F258</f>
        <v>0</v>
      </c>
      <c r="M258" s="46">
        <v>0</v>
      </c>
      <c r="N258" s="46"/>
      <c r="O258" s="46">
        <v>0</v>
      </c>
      <c r="P258" s="46"/>
      <c r="Q258" s="46">
        <v>0</v>
      </c>
      <c r="R258" s="46"/>
      <c r="S258" s="46">
        <v>26500.16</v>
      </c>
      <c r="T258" s="46">
        <v>0</v>
      </c>
      <c r="U258" s="46">
        <v>0</v>
      </c>
      <c r="V258" s="46">
        <v>0</v>
      </c>
      <c r="W258" s="46">
        <f>G258</f>
        <v>441669.34</v>
      </c>
      <c r="X258" s="165">
        <v>2015</v>
      </c>
      <c r="Y258" s="165">
        <v>2017</v>
      </c>
      <c r="Z258" s="176">
        <f t="shared" si="31"/>
        <v>137</v>
      </c>
    </row>
    <row r="259" spans="1:26" s="122" customFormat="1" ht="18" customHeight="1">
      <c r="A259" s="165">
        <f t="shared" si="30"/>
        <v>225</v>
      </c>
      <c r="B259" s="24" t="s">
        <v>182</v>
      </c>
      <c r="C259" s="148">
        <v>1959</v>
      </c>
      <c r="D259" s="51"/>
      <c r="E259" s="126">
        <f>631.3+12</f>
        <v>643.29999999999995</v>
      </c>
      <c r="F259" s="49">
        <f>631.3</f>
        <v>631.29999999999995</v>
      </c>
      <c r="G259" s="46">
        <f>H259+J259+K259+M259+O259+Q259+S259</f>
        <v>2513053.79</v>
      </c>
      <c r="H259" s="46">
        <v>0</v>
      </c>
      <c r="I259" s="46"/>
      <c r="J259" s="46">
        <v>0</v>
      </c>
      <c r="K259" s="46">
        <f>ROUND(631.3*3980.76,2)</f>
        <v>2513053.79</v>
      </c>
      <c r="L259" s="35">
        <f>K259/F259</f>
        <v>3980.7600031680663</v>
      </c>
      <c r="M259" s="46">
        <v>0</v>
      </c>
      <c r="N259" s="46"/>
      <c r="O259" s="46">
        <v>0</v>
      </c>
      <c r="P259" s="46"/>
      <c r="Q259" s="46">
        <v>0</v>
      </c>
      <c r="R259" s="46"/>
      <c r="S259" s="46">
        <v>0</v>
      </c>
      <c r="T259" s="46">
        <v>0</v>
      </c>
      <c r="U259" s="46">
        <v>0</v>
      </c>
      <c r="V259" s="46">
        <v>0</v>
      </c>
      <c r="W259" s="46">
        <f>G259</f>
        <v>2513053.79</v>
      </c>
      <c r="X259" s="165">
        <v>2015</v>
      </c>
      <c r="Y259" s="165">
        <v>2016</v>
      </c>
      <c r="Z259" s="176">
        <f t="shared" si="31"/>
        <v>138</v>
      </c>
    </row>
    <row r="260" spans="1:26" s="122" customFormat="1" ht="18" customHeight="1">
      <c r="A260" s="165">
        <f t="shared" si="30"/>
        <v>226</v>
      </c>
      <c r="B260" s="24" t="s">
        <v>630</v>
      </c>
      <c r="C260" s="148">
        <v>1957</v>
      </c>
      <c r="D260" s="165"/>
      <c r="E260" s="126">
        <v>5615.6</v>
      </c>
      <c r="F260" s="49">
        <v>3836.3</v>
      </c>
      <c r="G260" s="46">
        <f>H260+J260+K260+M260+O260+Q260+S260</f>
        <v>4150876.6000000006</v>
      </c>
      <c r="H260" s="46">
        <v>0</v>
      </c>
      <c r="I260" s="46"/>
      <c r="J260" s="46">
        <v>0</v>
      </c>
      <c r="K260" s="46">
        <v>0</v>
      </c>
      <c r="L260" s="35">
        <f>K260/F260</f>
        <v>0</v>
      </c>
      <c r="M260" s="46">
        <v>0</v>
      </c>
      <c r="N260" s="46"/>
      <c r="O260" s="46">
        <f>ROUND(3836.3*1082,2)-S260</f>
        <v>3957571.3600000003</v>
      </c>
      <c r="P260" s="35">
        <f>O260/F260</f>
        <v>1031.611542371556</v>
      </c>
      <c r="Q260" s="46">
        <v>0</v>
      </c>
      <c r="R260" s="46"/>
      <c r="S260" s="46">
        <v>193305.24</v>
      </c>
      <c r="T260" s="46">
        <v>0</v>
      </c>
      <c r="U260" s="46">
        <v>0</v>
      </c>
      <c r="V260" s="46">
        <v>0</v>
      </c>
      <c r="W260" s="46">
        <f>G260</f>
        <v>4150876.6000000006</v>
      </c>
      <c r="X260" s="165">
        <v>2015</v>
      </c>
      <c r="Y260" s="165">
        <v>2017</v>
      </c>
      <c r="Z260" s="176">
        <f t="shared" si="31"/>
        <v>139</v>
      </c>
    </row>
    <row r="261" spans="1:26" s="122" customFormat="1" ht="18" customHeight="1">
      <c r="A261" s="165">
        <f t="shared" si="30"/>
        <v>227</v>
      </c>
      <c r="B261" s="24" t="s">
        <v>399</v>
      </c>
      <c r="C261" s="148">
        <v>1948</v>
      </c>
      <c r="D261" s="165" t="s">
        <v>596</v>
      </c>
      <c r="E261" s="49">
        <v>1690.7</v>
      </c>
      <c r="F261" s="49">
        <v>1200.5</v>
      </c>
      <c r="G261" s="46">
        <f>H261+J261+K261+M261+O261+Q261+S261</f>
        <v>1447190.75</v>
      </c>
      <c r="H261" s="35">
        <f>ROUND((151+215+321.45+518.04)*F261,2)</f>
        <v>1447190.75</v>
      </c>
      <c r="I261" s="46">
        <f>H261/F261</f>
        <v>1205.4900041649312</v>
      </c>
      <c r="J261" s="35">
        <v>0</v>
      </c>
      <c r="K261" s="35">
        <v>0</v>
      </c>
      <c r="L261" s="35">
        <f>K261/F261</f>
        <v>0</v>
      </c>
      <c r="M261" s="35">
        <v>0</v>
      </c>
      <c r="N261" s="35"/>
      <c r="O261" s="35">
        <v>0</v>
      </c>
      <c r="P261" s="35"/>
      <c r="Q261" s="35">
        <v>0</v>
      </c>
      <c r="R261" s="35"/>
      <c r="S261" s="35">
        <v>0</v>
      </c>
      <c r="T261" s="35">
        <v>0</v>
      </c>
      <c r="U261" s="35">
        <v>0</v>
      </c>
      <c r="V261" s="35">
        <v>0</v>
      </c>
      <c r="W261" s="46">
        <f>G261</f>
        <v>1447190.75</v>
      </c>
      <c r="X261" s="165">
        <v>2016</v>
      </c>
      <c r="Y261" s="165">
        <v>2017</v>
      </c>
      <c r="Z261" s="176">
        <f t="shared" si="31"/>
        <v>140</v>
      </c>
    </row>
    <row r="262" spans="1:26" s="122" customFormat="1" ht="18" customHeight="1">
      <c r="A262" s="165">
        <f t="shared" si="30"/>
        <v>228</v>
      </c>
      <c r="B262" s="24" t="s">
        <v>23</v>
      </c>
      <c r="C262" s="148">
        <v>1939</v>
      </c>
      <c r="D262" s="51" t="s">
        <v>596</v>
      </c>
      <c r="E262" s="126">
        <v>3324.9</v>
      </c>
      <c r="F262" s="49">
        <v>2434.4</v>
      </c>
      <c r="G262" s="46">
        <f>H262+J262+K262+M262+O262+Q262+S262</f>
        <v>9574470.8499999996</v>
      </c>
      <c r="H262" s="46">
        <v>0</v>
      </c>
      <c r="I262" s="46"/>
      <c r="J262" s="46">
        <v>0</v>
      </c>
      <c r="K262" s="46">
        <f>ROUND(2434.4*1595.21,2)</f>
        <v>3883379.22</v>
      </c>
      <c r="L262" s="35">
        <f>K262/F262</f>
        <v>1595.2099983568846</v>
      </c>
      <c r="M262" s="46">
        <v>0</v>
      </c>
      <c r="N262" s="46"/>
      <c r="O262" s="46">
        <f>ROUND(2434.4*2337.78,2)</f>
        <v>5691091.6299999999</v>
      </c>
      <c r="P262" s="35">
        <f>O262/F262</f>
        <v>2337.7799991784423</v>
      </c>
      <c r="Q262" s="46">
        <v>0</v>
      </c>
      <c r="R262" s="46"/>
      <c r="S262" s="46">
        <v>0</v>
      </c>
      <c r="T262" s="46">
        <v>0</v>
      </c>
      <c r="U262" s="46">
        <v>0</v>
      </c>
      <c r="V262" s="46">
        <v>0</v>
      </c>
      <c r="W262" s="46">
        <f>G262</f>
        <v>9574470.8499999996</v>
      </c>
      <c r="X262" s="165">
        <v>2015</v>
      </c>
      <c r="Y262" s="165">
        <v>2017</v>
      </c>
      <c r="Z262" s="176">
        <f t="shared" si="31"/>
        <v>141</v>
      </c>
    </row>
    <row r="263" spans="1:26" s="122" customFormat="1" ht="18" customHeight="1">
      <c r="A263" s="165">
        <f t="shared" si="30"/>
        <v>229</v>
      </c>
      <c r="B263" s="24" t="s">
        <v>398</v>
      </c>
      <c r="C263" s="148">
        <v>1939</v>
      </c>
      <c r="D263" s="165" t="s">
        <v>596</v>
      </c>
      <c r="E263" s="49">
        <v>4378.5</v>
      </c>
      <c r="F263" s="49">
        <v>2286</v>
      </c>
      <c r="G263" s="46">
        <f>H263+J263+K263+M263+O263+Q263+S263</f>
        <v>8990815.1400000006</v>
      </c>
      <c r="H263" s="35">
        <v>0</v>
      </c>
      <c r="I263" s="35"/>
      <c r="J263" s="35">
        <v>0</v>
      </c>
      <c r="K263" s="46">
        <v>3646650.06</v>
      </c>
      <c r="L263" s="35">
        <f>K263/F263</f>
        <v>1595.21</v>
      </c>
      <c r="M263" s="35">
        <v>0</v>
      </c>
      <c r="N263" s="35"/>
      <c r="O263" s="46">
        <v>5344165.08</v>
      </c>
      <c r="P263" s="35">
        <f>O263/F263</f>
        <v>2337.7800000000002</v>
      </c>
      <c r="Q263" s="35">
        <v>0</v>
      </c>
      <c r="R263" s="35"/>
      <c r="S263" s="35">
        <v>0</v>
      </c>
      <c r="T263" s="35">
        <v>0</v>
      </c>
      <c r="U263" s="35">
        <v>0</v>
      </c>
      <c r="V263" s="35">
        <v>0</v>
      </c>
      <c r="W263" s="46">
        <f>G263</f>
        <v>8990815.1400000006</v>
      </c>
      <c r="X263" s="165">
        <v>2016</v>
      </c>
      <c r="Y263" s="165">
        <v>2017</v>
      </c>
      <c r="Z263" s="176">
        <f t="shared" si="31"/>
        <v>142</v>
      </c>
    </row>
    <row r="264" spans="1:26" s="122" customFormat="1" ht="18" customHeight="1">
      <c r="A264" s="165">
        <f t="shared" si="30"/>
        <v>230</v>
      </c>
      <c r="B264" s="24" t="s">
        <v>400</v>
      </c>
      <c r="C264" s="148">
        <v>1998</v>
      </c>
      <c r="D264" s="165"/>
      <c r="E264" s="49">
        <v>5650.6</v>
      </c>
      <c r="F264" s="49">
        <v>5560.5</v>
      </c>
      <c r="G264" s="46">
        <f>H264+J264+K264+M264+O264+Q264+S264</f>
        <v>940113.74</v>
      </c>
      <c r="H264" s="35">
        <v>940113.74</v>
      </c>
      <c r="I264" s="46">
        <f>H264/F264</f>
        <v>169.0700008991997</v>
      </c>
      <c r="J264" s="35">
        <v>0</v>
      </c>
      <c r="K264" s="35">
        <v>0</v>
      </c>
      <c r="L264" s="35">
        <f>K264/F264</f>
        <v>0</v>
      </c>
      <c r="M264" s="35">
        <v>0</v>
      </c>
      <c r="N264" s="35"/>
      <c r="O264" s="35">
        <v>0</v>
      </c>
      <c r="P264" s="35"/>
      <c r="Q264" s="35">
        <v>0</v>
      </c>
      <c r="R264" s="35"/>
      <c r="S264" s="35">
        <v>0</v>
      </c>
      <c r="T264" s="35">
        <v>0</v>
      </c>
      <c r="U264" s="35">
        <v>0</v>
      </c>
      <c r="V264" s="35">
        <v>0</v>
      </c>
      <c r="W264" s="46">
        <f>G264</f>
        <v>940113.74</v>
      </c>
      <c r="X264" s="165">
        <v>2016</v>
      </c>
      <c r="Y264" s="165">
        <v>2016</v>
      </c>
      <c r="Z264" s="176">
        <f t="shared" si="31"/>
        <v>143</v>
      </c>
    </row>
    <row r="265" spans="1:26" s="122" customFormat="1" ht="18" customHeight="1">
      <c r="A265" s="165">
        <f t="shared" si="30"/>
        <v>231</v>
      </c>
      <c r="B265" s="24" t="s">
        <v>628</v>
      </c>
      <c r="C265" s="148">
        <v>1937</v>
      </c>
      <c r="D265" s="165"/>
      <c r="E265" s="126">
        <v>9393.9</v>
      </c>
      <c r="F265" s="49">
        <v>7167.8</v>
      </c>
      <c r="G265" s="46">
        <f>H265+J265+K265+M265+O265+Q265+S265</f>
        <v>8507461.8200000003</v>
      </c>
      <c r="H265" s="46">
        <v>0</v>
      </c>
      <c r="I265" s="46"/>
      <c r="J265" s="46">
        <v>0</v>
      </c>
      <c r="K265" s="46">
        <v>0</v>
      </c>
      <c r="L265" s="35">
        <f>K265/F265</f>
        <v>0</v>
      </c>
      <c r="M265" s="46">
        <v>0</v>
      </c>
      <c r="N265" s="46"/>
      <c r="O265" s="172">
        <f>ROUND(7167.8*1186.9,2)-S265</f>
        <v>8191879.0800000001</v>
      </c>
      <c r="P265" s="35">
        <f>O265/F265</f>
        <v>1142.872161611652</v>
      </c>
      <c r="Q265" s="46">
        <v>0</v>
      </c>
      <c r="R265" s="46"/>
      <c r="S265" s="46">
        <v>315582.74</v>
      </c>
      <c r="T265" s="46">
        <v>0</v>
      </c>
      <c r="U265" s="46">
        <v>0</v>
      </c>
      <c r="V265" s="46">
        <v>0</v>
      </c>
      <c r="W265" s="46">
        <f>G265</f>
        <v>8507461.8200000003</v>
      </c>
      <c r="X265" s="165">
        <v>2015</v>
      </c>
      <c r="Y265" s="165">
        <v>2017</v>
      </c>
      <c r="Z265" s="176">
        <f t="shared" si="31"/>
        <v>144</v>
      </c>
    </row>
    <row r="266" spans="1:26" s="122" customFormat="1" ht="18" customHeight="1">
      <c r="A266" s="165">
        <f t="shared" si="30"/>
        <v>232</v>
      </c>
      <c r="B266" s="24" t="s">
        <v>629</v>
      </c>
      <c r="C266" s="148">
        <v>1958</v>
      </c>
      <c r="D266" s="165"/>
      <c r="E266" s="126">
        <v>11383.3</v>
      </c>
      <c r="F266" s="49">
        <v>9132.4</v>
      </c>
      <c r="G266" s="46">
        <f>H266+J266+K266+M266+O266+Q266+S266</f>
        <v>10839245.560000001</v>
      </c>
      <c r="H266" s="46">
        <v>0</v>
      </c>
      <c r="I266" s="46"/>
      <c r="J266" s="46">
        <v>0</v>
      </c>
      <c r="K266" s="46">
        <v>0</v>
      </c>
      <c r="L266" s="35">
        <f>K266/F266</f>
        <v>0</v>
      </c>
      <c r="M266" s="46">
        <v>0</v>
      </c>
      <c r="N266" s="46"/>
      <c r="O266" s="172">
        <f>ROUND(9132.4*1186.9,2)-S266</f>
        <v>10527651.220000001</v>
      </c>
      <c r="P266" s="35">
        <f>O266/F266</f>
        <v>1152.7803447067586</v>
      </c>
      <c r="Q266" s="46">
        <v>0</v>
      </c>
      <c r="R266" s="46"/>
      <c r="S266" s="46">
        <v>311594.34000000003</v>
      </c>
      <c r="T266" s="46">
        <v>0</v>
      </c>
      <c r="U266" s="46">
        <v>0</v>
      </c>
      <c r="V266" s="46">
        <v>0</v>
      </c>
      <c r="W266" s="46">
        <f>G266</f>
        <v>10839245.560000001</v>
      </c>
      <c r="X266" s="165">
        <v>2015</v>
      </c>
      <c r="Y266" s="165">
        <v>2017</v>
      </c>
      <c r="Z266" s="176">
        <f t="shared" si="31"/>
        <v>145</v>
      </c>
    </row>
    <row r="267" spans="1:26" s="122" customFormat="1" ht="18" customHeight="1">
      <c r="A267" s="165">
        <f t="shared" si="30"/>
        <v>233</v>
      </c>
      <c r="B267" s="24" t="s">
        <v>401</v>
      </c>
      <c r="C267" s="148">
        <v>1955</v>
      </c>
      <c r="D267" s="165"/>
      <c r="E267" s="49">
        <v>1250.5</v>
      </c>
      <c r="F267" s="49">
        <v>1024</v>
      </c>
      <c r="G267" s="46">
        <f>H267+J267+K267+M267+O267+Q267+S267</f>
        <v>369592.32000000001</v>
      </c>
      <c r="H267" s="35">
        <f>F267*360.93</f>
        <v>369592.32000000001</v>
      </c>
      <c r="I267" s="46">
        <f>H267/F267</f>
        <v>360.93</v>
      </c>
      <c r="J267" s="35">
        <v>0</v>
      </c>
      <c r="K267" s="35">
        <v>0</v>
      </c>
      <c r="L267" s="35">
        <f>K267/F267</f>
        <v>0</v>
      </c>
      <c r="M267" s="35">
        <v>0</v>
      </c>
      <c r="N267" s="35"/>
      <c r="O267" s="35">
        <v>0</v>
      </c>
      <c r="P267" s="35"/>
      <c r="Q267" s="35">
        <v>0</v>
      </c>
      <c r="R267" s="35"/>
      <c r="S267" s="35">
        <v>0</v>
      </c>
      <c r="T267" s="35">
        <v>0</v>
      </c>
      <c r="U267" s="35">
        <v>0</v>
      </c>
      <c r="V267" s="35">
        <v>0</v>
      </c>
      <c r="W267" s="46">
        <f>G267</f>
        <v>369592.32000000001</v>
      </c>
      <c r="X267" s="165">
        <v>2016</v>
      </c>
      <c r="Y267" s="165">
        <v>2016</v>
      </c>
      <c r="Z267" s="176">
        <f t="shared" si="31"/>
        <v>146</v>
      </c>
    </row>
    <row r="268" spans="1:26" s="122" customFormat="1" ht="18" customHeight="1">
      <c r="A268" s="165">
        <f t="shared" si="30"/>
        <v>234</v>
      </c>
      <c r="B268" s="24" t="s">
        <v>633</v>
      </c>
      <c r="C268" s="148">
        <v>1941</v>
      </c>
      <c r="D268" s="165"/>
      <c r="E268" s="49">
        <v>3299.3</v>
      </c>
      <c r="F268" s="49">
        <v>1902.2</v>
      </c>
      <c r="G268" s="46">
        <f>H268+J268+K268+M268+O268+Q268+S268</f>
        <v>2467153.4</v>
      </c>
      <c r="H268" s="35">
        <v>408973</v>
      </c>
      <c r="I268" s="46">
        <f>H268/F268</f>
        <v>215</v>
      </c>
      <c r="J268" s="35">
        <v>0</v>
      </c>
      <c r="K268" s="35">
        <v>0</v>
      </c>
      <c r="L268" s="35">
        <f>K268/F268</f>
        <v>0</v>
      </c>
      <c r="M268" s="35">
        <v>0</v>
      </c>
      <c r="N268" s="35"/>
      <c r="O268" s="35">
        <f>ROUND(1082*F268,2)-S268</f>
        <v>1934689.5799999998</v>
      </c>
      <c r="P268" s="35"/>
      <c r="Q268" s="35">
        <v>0</v>
      </c>
      <c r="R268" s="35"/>
      <c r="S268" s="35">
        <v>123490.82</v>
      </c>
      <c r="T268" s="35">
        <v>0</v>
      </c>
      <c r="U268" s="35">
        <v>0</v>
      </c>
      <c r="V268" s="35">
        <v>0</v>
      </c>
      <c r="W268" s="46">
        <f>G268</f>
        <v>2467153.4</v>
      </c>
      <c r="X268" s="165">
        <v>2016</v>
      </c>
      <c r="Y268" s="165">
        <v>2017</v>
      </c>
      <c r="Z268" s="176">
        <f t="shared" si="31"/>
        <v>147</v>
      </c>
    </row>
    <row r="269" spans="1:26" s="122" customFormat="1" ht="18" customHeight="1">
      <c r="A269" s="165">
        <f t="shared" si="30"/>
        <v>235</v>
      </c>
      <c r="B269" s="24" t="s">
        <v>403</v>
      </c>
      <c r="C269" s="148">
        <v>1962</v>
      </c>
      <c r="D269" s="165"/>
      <c r="E269" s="49">
        <v>3193.5</v>
      </c>
      <c r="F269" s="49">
        <v>3149.8</v>
      </c>
      <c r="G269" s="46">
        <f>H269+J269+K269+M269+O269+Q269+S269</f>
        <v>5045948.0999999996</v>
      </c>
      <c r="H269" s="35">
        <f>ROUND((151+215+321.45)*F269,2)</f>
        <v>2165330.0099999998</v>
      </c>
      <c r="I269" s="46">
        <f>H269/F269</f>
        <v>687.44999999999993</v>
      </c>
      <c r="J269" s="35">
        <v>0</v>
      </c>
      <c r="K269" s="46">
        <v>2880618.09</v>
      </c>
      <c r="L269" s="35">
        <f>K269/F269</f>
        <v>914.53999936503897</v>
      </c>
      <c r="M269" s="35">
        <v>0</v>
      </c>
      <c r="N269" s="35"/>
      <c r="O269" s="35">
        <v>0</v>
      </c>
      <c r="P269" s="35"/>
      <c r="Q269" s="35">
        <v>0</v>
      </c>
      <c r="R269" s="35"/>
      <c r="S269" s="35">
        <v>0</v>
      </c>
      <c r="T269" s="35">
        <v>0</v>
      </c>
      <c r="U269" s="35">
        <v>0</v>
      </c>
      <c r="V269" s="35">
        <v>0</v>
      </c>
      <c r="W269" s="46">
        <f>G269</f>
        <v>5045948.0999999996</v>
      </c>
      <c r="X269" s="165">
        <v>2016</v>
      </c>
      <c r="Y269" s="165">
        <v>2016</v>
      </c>
      <c r="Z269" s="176">
        <f t="shared" si="31"/>
        <v>148</v>
      </c>
    </row>
    <row r="270" spans="1:26" s="122" customFormat="1" ht="18" customHeight="1">
      <c r="A270" s="165">
        <f t="shared" si="30"/>
        <v>236</v>
      </c>
      <c r="B270" s="24" t="s">
        <v>402</v>
      </c>
      <c r="C270" s="148">
        <v>1969</v>
      </c>
      <c r="D270" s="165"/>
      <c r="E270" s="49">
        <v>2818.7</v>
      </c>
      <c r="F270" s="49">
        <v>2796.3</v>
      </c>
      <c r="G270" s="46">
        <f>H270+J270+K270+M270+O270+Q270+S270</f>
        <v>2466616.23</v>
      </c>
      <c r="H270" s="35">
        <v>0</v>
      </c>
      <c r="I270" s="46">
        <f>H270/F270</f>
        <v>0</v>
      </c>
      <c r="J270" s="35">
        <v>0</v>
      </c>
      <c r="K270" s="35">
        <v>0</v>
      </c>
      <c r="L270" s="35">
        <f>K270/F270</f>
        <v>0</v>
      </c>
      <c r="M270" s="35">
        <v>0</v>
      </c>
      <c r="N270" s="35"/>
      <c r="O270" s="46">
        <v>2466616.23</v>
      </c>
      <c r="P270" s="35">
        <f>O270/F270</f>
        <v>882.09999999999991</v>
      </c>
      <c r="Q270" s="35">
        <v>0</v>
      </c>
      <c r="R270" s="35"/>
      <c r="S270" s="35">
        <v>0</v>
      </c>
      <c r="T270" s="35">
        <v>0</v>
      </c>
      <c r="U270" s="35">
        <v>0</v>
      </c>
      <c r="V270" s="35">
        <v>0</v>
      </c>
      <c r="W270" s="46">
        <f>G270</f>
        <v>2466616.23</v>
      </c>
      <c r="X270" s="165">
        <v>2016</v>
      </c>
      <c r="Y270" s="165">
        <v>2016</v>
      </c>
      <c r="Z270" s="176">
        <f t="shared" si="31"/>
        <v>149</v>
      </c>
    </row>
    <row r="271" spans="1:26" s="122" customFormat="1" ht="18" customHeight="1">
      <c r="A271" s="165">
        <f t="shared" si="30"/>
        <v>237</v>
      </c>
      <c r="B271" s="24" t="s">
        <v>404</v>
      </c>
      <c r="C271" s="148">
        <v>1961</v>
      </c>
      <c r="D271" s="165"/>
      <c r="E271" s="49">
        <v>1459.2</v>
      </c>
      <c r="F271" s="49">
        <v>1271.8</v>
      </c>
      <c r="G271" s="46">
        <f>H271+J271+K271+M271+O271+Q271+S271</f>
        <v>2028788.08</v>
      </c>
      <c r="H271" s="35">
        <v>0</v>
      </c>
      <c r="I271" s="35"/>
      <c r="J271" s="35">
        <v>0</v>
      </c>
      <c r="K271" s="46">
        <v>2028788.08</v>
      </c>
      <c r="L271" s="35">
        <f>K271/F271</f>
        <v>1595.2100015725744</v>
      </c>
      <c r="M271" s="35">
        <v>0</v>
      </c>
      <c r="N271" s="35"/>
      <c r="O271" s="35">
        <v>0</v>
      </c>
      <c r="P271" s="35"/>
      <c r="Q271" s="35">
        <v>0</v>
      </c>
      <c r="R271" s="35"/>
      <c r="S271" s="35">
        <v>0</v>
      </c>
      <c r="T271" s="35">
        <v>0</v>
      </c>
      <c r="U271" s="35">
        <v>0</v>
      </c>
      <c r="V271" s="35">
        <v>0</v>
      </c>
      <c r="W271" s="46">
        <f>G271</f>
        <v>2028788.08</v>
      </c>
      <c r="X271" s="165">
        <v>2016</v>
      </c>
      <c r="Y271" s="165">
        <v>2016</v>
      </c>
      <c r="Z271" s="176">
        <f t="shared" si="31"/>
        <v>150</v>
      </c>
    </row>
    <row r="272" spans="1:26" s="122" customFormat="1" ht="18" customHeight="1">
      <c r="A272" s="165">
        <f t="shared" si="30"/>
        <v>238</v>
      </c>
      <c r="B272" s="24" t="s">
        <v>405</v>
      </c>
      <c r="C272" s="148">
        <v>1957</v>
      </c>
      <c r="D272" s="165"/>
      <c r="E272" s="49">
        <f>282.9+16.4</f>
        <v>299.29999999999995</v>
      </c>
      <c r="F272" s="49">
        <v>282.89999999999998</v>
      </c>
      <c r="G272" s="46">
        <f>H272+J272+K272+M272+O272+Q272+S272</f>
        <v>1126157.004</v>
      </c>
      <c r="H272" s="35">
        <v>0</v>
      </c>
      <c r="I272" s="35"/>
      <c r="J272" s="35">
        <v>0</v>
      </c>
      <c r="K272" s="46">
        <f>F272*3980.76</f>
        <v>1126157.004</v>
      </c>
      <c r="L272" s="35">
        <f>K272/F272</f>
        <v>3980.76</v>
      </c>
      <c r="M272" s="35">
        <v>0</v>
      </c>
      <c r="N272" s="35"/>
      <c r="O272" s="35">
        <v>0</v>
      </c>
      <c r="P272" s="35"/>
      <c r="Q272" s="35">
        <v>0</v>
      </c>
      <c r="R272" s="35"/>
      <c r="S272" s="35">
        <v>0</v>
      </c>
      <c r="T272" s="35">
        <v>0</v>
      </c>
      <c r="U272" s="35">
        <v>0</v>
      </c>
      <c r="V272" s="35">
        <v>0</v>
      </c>
      <c r="W272" s="46">
        <f>G272</f>
        <v>1126157.004</v>
      </c>
      <c r="X272" s="165">
        <v>2016</v>
      </c>
      <c r="Y272" s="165">
        <v>2016</v>
      </c>
      <c r="Z272" s="176">
        <f t="shared" si="31"/>
        <v>151</v>
      </c>
    </row>
    <row r="273" spans="1:26" s="122" customFormat="1" ht="18" customHeight="1">
      <c r="A273" s="165">
        <f t="shared" si="30"/>
        <v>239</v>
      </c>
      <c r="B273" s="24" t="s">
        <v>406</v>
      </c>
      <c r="C273" s="148">
        <v>1957</v>
      </c>
      <c r="D273" s="165"/>
      <c r="E273" s="49">
        <f>847.8+20.4</f>
        <v>868.19999999999993</v>
      </c>
      <c r="F273" s="49">
        <v>847.8</v>
      </c>
      <c r="G273" s="46">
        <f>H273+J273+K273+M273+O273+Q273+S273</f>
        <v>1352419.04</v>
      </c>
      <c r="H273" s="35">
        <v>0</v>
      </c>
      <c r="I273" s="35"/>
      <c r="J273" s="35">
        <v>0</v>
      </c>
      <c r="K273" s="46">
        <v>1352419.04</v>
      </c>
      <c r="L273" s="35">
        <f>K273/F273</f>
        <v>1595.2100023590472</v>
      </c>
      <c r="M273" s="35">
        <v>0</v>
      </c>
      <c r="N273" s="35"/>
      <c r="O273" s="35">
        <v>0</v>
      </c>
      <c r="P273" s="35"/>
      <c r="Q273" s="35">
        <v>0</v>
      </c>
      <c r="R273" s="35"/>
      <c r="S273" s="35">
        <v>0</v>
      </c>
      <c r="T273" s="35">
        <v>0</v>
      </c>
      <c r="U273" s="35">
        <v>0</v>
      </c>
      <c r="V273" s="35">
        <v>0</v>
      </c>
      <c r="W273" s="46">
        <f>G273</f>
        <v>1352419.04</v>
      </c>
      <c r="X273" s="165">
        <v>2016</v>
      </c>
      <c r="Y273" s="165">
        <v>2016</v>
      </c>
      <c r="Z273" s="176">
        <f t="shared" si="31"/>
        <v>152</v>
      </c>
    </row>
    <row r="274" spans="1:26" s="122" customFormat="1" ht="18" customHeight="1">
      <c r="A274" s="165">
        <f t="shared" si="30"/>
        <v>240</v>
      </c>
      <c r="B274" s="24" t="s">
        <v>407</v>
      </c>
      <c r="C274" s="148">
        <v>1956</v>
      </c>
      <c r="D274" s="165"/>
      <c r="E274" s="49">
        <v>974.9</v>
      </c>
      <c r="F274" s="49">
        <v>853.3</v>
      </c>
      <c r="G274" s="46">
        <f>H274+J274+K274+M274+O274+Q274+S274</f>
        <v>1361192.69</v>
      </c>
      <c r="H274" s="35">
        <v>0</v>
      </c>
      <c r="I274" s="35"/>
      <c r="J274" s="35">
        <v>0</v>
      </c>
      <c r="K274" s="46">
        <v>1361192.69</v>
      </c>
      <c r="L274" s="35">
        <f>K274/F274</f>
        <v>1595.2099964842378</v>
      </c>
      <c r="M274" s="35">
        <v>0</v>
      </c>
      <c r="N274" s="35"/>
      <c r="O274" s="35">
        <v>0</v>
      </c>
      <c r="P274" s="35"/>
      <c r="Q274" s="35">
        <v>0</v>
      </c>
      <c r="R274" s="35"/>
      <c r="S274" s="35">
        <v>0</v>
      </c>
      <c r="T274" s="35">
        <v>0</v>
      </c>
      <c r="U274" s="35">
        <v>0</v>
      </c>
      <c r="V274" s="35">
        <v>0</v>
      </c>
      <c r="W274" s="46">
        <f>G274</f>
        <v>1361192.69</v>
      </c>
      <c r="X274" s="165">
        <v>2016</v>
      </c>
      <c r="Y274" s="165">
        <v>2016</v>
      </c>
      <c r="Z274" s="176">
        <f t="shared" si="31"/>
        <v>153</v>
      </c>
    </row>
    <row r="275" spans="1:26" s="122" customFormat="1" ht="18" customHeight="1">
      <c r="A275" s="165">
        <f t="shared" si="30"/>
        <v>241</v>
      </c>
      <c r="B275" s="24" t="s">
        <v>191</v>
      </c>
      <c r="C275" s="148">
        <v>1952</v>
      </c>
      <c r="D275" s="165" t="s">
        <v>596</v>
      </c>
      <c r="E275" s="126">
        <v>1812.7</v>
      </c>
      <c r="F275" s="49">
        <v>1401.3</v>
      </c>
      <c r="G275" s="46">
        <f>H275+J275+K275+M275+O275+Q275+S275</f>
        <v>3275931.11</v>
      </c>
      <c r="H275" s="46">
        <v>0</v>
      </c>
      <c r="I275" s="46"/>
      <c r="J275" s="46">
        <v>0</v>
      </c>
      <c r="K275" s="46">
        <v>0</v>
      </c>
      <c r="L275" s="35">
        <f>K275/F275</f>
        <v>0</v>
      </c>
      <c r="M275" s="46">
        <v>0</v>
      </c>
      <c r="N275" s="46"/>
      <c r="O275" s="46">
        <f>ROUND(1401.3*2337.78,2)</f>
        <v>3275931.11</v>
      </c>
      <c r="P275" s="35">
        <f>O275/F275</f>
        <v>2337.7799971455079</v>
      </c>
      <c r="Q275" s="46">
        <v>0</v>
      </c>
      <c r="R275" s="46"/>
      <c r="S275" s="46"/>
      <c r="T275" s="46">
        <v>0</v>
      </c>
      <c r="U275" s="46">
        <v>0</v>
      </c>
      <c r="V275" s="46">
        <v>0</v>
      </c>
      <c r="W275" s="46">
        <f>G275</f>
        <v>3275931.11</v>
      </c>
      <c r="X275" s="165">
        <v>2015</v>
      </c>
      <c r="Y275" s="165">
        <v>2017</v>
      </c>
      <c r="Z275" s="176">
        <f t="shared" si="31"/>
        <v>154</v>
      </c>
    </row>
    <row r="276" spans="1:26" s="122" customFormat="1" ht="18" customHeight="1">
      <c r="A276" s="165">
        <f t="shared" si="30"/>
        <v>242</v>
      </c>
      <c r="B276" s="24" t="s">
        <v>408</v>
      </c>
      <c r="C276" s="148">
        <v>1987</v>
      </c>
      <c r="D276" s="165"/>
      <c r="E276" s="49">
        <v>2663.5</v>
      </c>
      <c r="F276" s="49">
        <v>2615</v>
      </c>
      <c r="G276" s="46">
        <f>H276+J276+K276+M276+O276+Q276+S276</f>
        <v>442118.05</v>
      </c>
      <c r="H276" s="35">
        <v>442118.05</v>
      </c>
      <c r="I276" s="46">
        <f>H276/F276</f>
        <v>169.07</v>
      </c>
      <c r="J276" s="35">
        <v>0</v>
      </c>
      <c r="K276" s="35">
        <v>0</v>
      </c>
      <c r="L276" s="35">
        <f>K276/F276</f>
        <v>0</v>
      </c>
      <c r="M276" s="35">
        <v>0</v>
      </c>
      <c r="N276" s="35"/>
      <c r="O276" s="35">
        <v>0</v>
      </c>
      <c r="P276" s="35"/>
      <c r="Q276" s="35">
        <v>0</v>
      </c>
      <c r="R276" s="35"/>
      <c r="S276" s="35">
        <v>0</v>
      </c>
      <c r="T276" s="35">
        <v>0</v>
      </c>
      <c r="U276" s="35">
        <v>0</v>
      </c>
      <c r="V276" s="35">
        <v>0</v>
      </c>
      <c r="W276" s="46">
        <f>G276</f>
        <v>442118.05</v>
      </c>
      <c r="X276" s="165">
        <v>2016</v>
      </c>
      <c r="Y276" s="165">
        <v>2017</v>
      </c>
      <c r="Z276" s="176">
        <f t="shared" si="31"/>
        <v>155</v>
      </c>
    </row>
    <row r="277" spans="1:26" s="122" customFormat="1" ht="18" customHeight="1">
      <c r="A277" s="165">
        <f t="shared" si="30"/>
        <v>243</v>
      </c>
      <c r="B277" s="24" t="s">
        <v>634</v>
      </c>
      <c r="C277" s="148">
        <v>1959</v>
      </c>
      <c r="D277" s="165"/>
      <c r="E277" s="49">
        <v>1209.4000000000001</v>
      </c>
      <c r="F277" s="49">
        <v>1087.8</v>
      </c>
      <c r="G277" s="46">
        <f>H277+J277+K277+M277+O277+Q277+S277</f>
        <v>392619.65399999998</v>
      </c>
      <c r="H277" s="35">
        <f>F277*360.93-S277</f>
        <v>369062.47399999999</v>
      </c>
      <c r="I277" s="46">
        <f>H277/F277</f>
        <v>339.27419930134215</v>
      </c>
      <c r="J277" s="35">
        <v>0</v>
      </c>
      <c r="K277" s="35">
        <v>0</v>
      </c>
      <c r="L277" s="35">
        <f>K277/F277</f>
        <v>0</v>
      </c>
      <c r="M277" s="35">
        <v>0</v>
      </c>
      <c r="N277" s="35"/>
      <c r="O277" s="35">
        <v>0</v>
      </c>
      <c r="P277" s="35"/>
      <c r="Q277" s="35">
        <v>0</v>
      </c>
      <c r="R277" s="35"/>
      <c r="S277" s="35">
        <v>23557.18</v>
      </c>
      <c r="T277" s="35">
        <v>0</v>
      </c>
      <c r="U277" s="35">
        <v>0</v>
      </c>
      <c r="V277" s="35">
        <v>0</v>
      </c>
      <c r="W277" s="46">
        <f>G277</f>
        <v>392619.65399999998</v>
      </c>
      <c r="X277" s="165">
        <v>2016</v>
      </c>
      <c r="Y277" s="165">
        <v>2017</v>
      </c>
      <c r="Z277" s="176">
        <f t="shared" si="31"/>
        <v>156</v>
      </c>
    </row>
    <row r="278" spans="1:26" s="122" customFormat="1" ht="18" customHeight="1">
      <c r="A278" s="165">
        <f t="shared" si="30"/>
        <v>244</v>
      </c>
      <c r="B278" s="24" t="s">
        <v>185</v>
      </c>
      <c r="C278" s="148">
        <v>1950</v>
      </c>
      <c r="D278" s="51"/>
      <c r="E278" s="126">
        <f>497.4+10</f>
        <v>507.4</v>
      </c>
      <c r="F278" s="49">
        <f>497.4</f>
        <v>497.4</v>
      </c>
      <c r="G278" s="46">
        <f>H278+J278+K278+M278+O278+Q278+S278</f>
        <v>1980030.02</v>
      </c>
      <c r="H278" s="46">
        <v>0</v>
      </c>
      <c r="I278" s="46"/>
      <c r="J278" s="46">
        <v>0</v>
      </c>
      <c r="K278" s="46">
        <f>ROUND(497.4*3980.76,2)</f>
        <v>1980030.02</v>
      </c>
      <c r="L278" s="35">
        <f>K278/F278</f>
        <v>3980.7599919581826</v>
      </c>
      <c r="M278" s="46">
        <v>0</v>
      </c>
      <c r="N278" s="46"/>
      <c r="O278" s="46">
        <v>0</v>
      </c>
      <c r="P278" s="46"/>
      <c r="Q278" s="46">
        <v>0</v>
      </c>
      <c r="R278" s="46"/>
      <c r="S278" s="46">
        <v>0</v>
      </c>
      <c r="T278" s="46">
        <v>0</v>
      </c>
      <c r="U278" s="46">
        <v>0</v>
      </c>
      <c r="V278" s="46">
        <v>0</v>
      </c>
      <c r="W278" s="46">
        <f>G278</f>
        <v>1980030.02</v>
      </c>
      <c r="X278" s="165">
        <v>2015</v>
      </c>
      <c r="Y278" s="165">
        <v>2016</v>
      </c>
      <c r="Z278" s="176">
        <f t="shared" si="31"/>
        <v>157</v>
      </c>
    </row>
    <row r="279" spans="1:26" s="122" customFormat="1" ht="18" customHeight="1">
      <c r="A279" s="165">
        <f t="shared" si="30"/>
        <v>245</v>
      </c>
      <c r="B279" s="24" t="s">
        <v>187</v>
      </c>
      <c r="C279" s="148">
        <v>1956</v>
      </c>
      <c r="D279" s="51" t="s">
        <v>596</v>
      </c>
      <c r="E279" s="126">
        <v>4311.8999999999996</v>
      </c>
      <c r="F279" s="49">
        <v>2881.3</v>
      </c>
      <c r="G279" s="46">
        <f>H279+J279+K279+M279+O279+Q279+S279</f>
        <v>6735845.5099999998</v>
      </c>
      <c r="H279" s="46">
        <v>0</v>
      </c>
      <c r="I279" s="46"/>
      <c r="J279" s="46">
        <v>0</v>
      </c>
      <c r="K279" s="46">
        <v>0</v>
      </c>
      <c r="L279" s="35">
        <f>K279/F279</f>
        <v>0</v>
      </c>
      <c r="M279" s="46">
        <v>0</v>
      </c>
      <c r="N279" s="46"/>
      <c r="O279" s="46">
        <f>ROUND(2881.3*2337.78,2)</f>
        <v>6735845.5099999998</v>
      </c>
      <c r="P279" s="35">
        <f>O279/F279</f>
        <v>2337.7799986117375</v>
      </c>
      <c r="Q279" s="46">
        <v>0</v>
      </c>
      <c r="R279" s="46"/>
      <c r="S279" s="46">
        <v>0</v>
      </c>
      <c r="T279" s="46">
        <v>0</v>
      </c>
      <c r="U279" s="46">
        <v>0</v>
      </c>
      <c r="V279" s="46">
        <v>0</v>
      </c>
      <c r="W279" s="46">
        <f>G279</f>
        <v>6735845.5099999998</v>
      </c>
      <c r="X279" s="165">
        <v>2015</v>
      </c>
      <c r="Y279" s="165">
        <v>2017</v>
      </c>
      <c r="Z279" s="176">
        <f t="shared" si="31"/>
        <v>158</v>
      </c>
    </row>
    <row r="280" spans="1:26" s="122" customFormat="1" ht="18" customHeight="1">
      <c r="A280" s="165">
        <f t="shared" si="30"/>
        <v>246</v>
      </c>
      <c r="B280" s="24" t="s">
        <v>410</v>
      </c>
      <c r="C280" s="148">
        <v>1955</v>
      </c>
      <c r="D280" s="165" t="s">
        <v>596</v>
      </c>
      <c r="E280" s="49">
        <v>2501.6999999999998</v>
      </c>
      <c r="F280" s="49">
        <v>1913.9</v>
      </c>
      <c r="G280" s="46">
        <f>H280+J280+K280+M280+O280+Q280+S280</f>
        <v>4474277.1399999997</v>
      </c>
      <c r="H280" s="35">
        <v>0</v>
      </c>
      <c r="I280" s="35"/>
      <c r="J280" s="35">
        <v>0</v>
      </c>
      <c r="K280" s="35">
        <v>0</v>
      </c>
      <c r="L280" s="35">
        <f>K280/F280</f>
        <v>0</v>
      </c>
      <c r="M280" s="35">
        <v>0</v>
      </c>
      <c r="N280" s="35"/>
      <c r="O280" s="46">
        <v>4474277.1399999997</v>
      </c>
      <c r="P280" s="35">
        <f>O280/F280</f>
        <v>2337.7799989550131</v>
      </c>
      <c r="Q280" s="35">
        <v>0</v>
      </c>
      <c r="R280" s="35"/>
      <c r="S280" s="35">
        <v>0</v>
      </c>
      <c r="T280" s="35">
        <v>0</v>
      </c>
      <c r="U280" s="35">
        <v>0</v>
      </c>
      <c r="V280" s="35">
        <v>0</v>
      </c>
      <c r="W280" s="46">
        <f>G280</f>
        <v>4474277.1399999997</v>
      </c>
      <c r="X280" s="165">
        <v>2016</v>
      </c>
      <c r="Y280" s="165">
        <v>2017</v>
      </c>
      <c r="Z280" s="176">
        <f t="shared" si="31"/>
        <v>159</v>
      </c>
    </row>
    <row r="281" spans="1:26" s="122" customFormat="1" ht="18" customHeight="1">
      <c r="A281" s="165">
        <f t="shared" si="30"/>
        <v>247</v>
      </c>
      <c r="B281" s="24" t="s">
        <v>411</v>
      </c>
      <c r="C281" s="148">
        <v>1953</v>
      </c>
      <c r="D281" s="165" t="s">
        <v>596</v>
      </c>
      <c r="E281" s="49">
        <v>1872</v>
      </c>
      <c r="F281" s="49">
        <v>1114.4000000000001</v>
      </c>
      <c r="G281" s="46">
        <f>H281+J281+K281+M281+O281+Q281+S281</f>
        <v>2605222.0299999998</v>
      </c>
      <c r="H281" s="35">
        <v>0</v>
      </c>
      <c r="I281" s="35"/>
      <c r="J281" s="35">
        <v>0</v>
      </c>
      <c r="K281" s="35">
        <v>0</v>
      </c>
      <c r="L281" s="35">
        <f>K281/F281</f>
        <v>0</v>
      </c>
      <c r="M281" s="35">
        <v>0</v>
      </c>
      <c r="N281" s="35"/>
      <c r="O281" s="46">
        <v>2605222.0299999998</v>
      </c>
      <c r="P281" s="35">
        <f>O281/F281</f>
        <v>2337.779998205312</v>
      </c>
      <c r="Q281" s="35">
        <v>0</v>
      </c>
      <c r="R281" s="35"/>
      <c r="S281" s="35">
        <v>0</v>
      </c>
      <c r="T281" s="35">
        <v>0</v>
      </c>
      <c r="U281" s="35">
        <v>0</v>
      </c>
      <c r="V281" s="35">
        <v>0</v>
      </c>
      <c r="W281" s="46">
        <f>G281</f>
        <v>2605222.0299999998</v>
      </c>
      <c r="X281" s="165">
        <v>2016</v>
      </c>
      <c r="Y281" s="165">
        <v>2017</v>
      </c>
      <c r="Z281" s="176">
        <f t="shared" si="31"/>
        <v>160</v>
      </c>
    </row>
    <row r="282" spans="1:26" s="122" customFormat="1" ht="18" customHeight="1">
      <c r="A282" s="165">
        <f t="shared" si="30"/>
        <v>248</v>
      </c>
      <c r="B282" s="24" t="s">
        <v>188</v>
      </c>
      <c r="C282" s="148">
        <v>1950</v>
      </c>
      <c r="D282" s="165"/>
      <c r="E282" s="49">
        <v>716.5</v>
      </c>
      <c r="F282" s="49">
        <v>665.3</v>
      </c>
      <c r="G282" s="46">
        <f>H282+J282+K282+M282+O282+Q282+S282</f>
        <v>2369978.23</v>
      </c>
      <c r="H282" s="35">
        <v>0</v>
      </c>
      <c r="I282" s="35"/>
      <c r="J282" s="35">
        <v>0</v>
      </c>
      <c r="K282" s="46">
        <v>2369978.23</v>
      </c>
      <c r="L282" s="35">
        <f>K282/F282</f>
        <v>3562.269998496919</v>
      </c>
      <c r="M282" s="35">
        <v>0</v>
      </c>
      <c r="N282" s="35"/>
      <c r="O282" s="35">
        <v>0</v>
      </c>
      <c r="P282" s="35"/>
      <c r="Q282" s="35">
        <v>0</v>
      </c>
      <c r="R282" s="35"/>
      <c r="S282" s="35">
        <v>0</v>
      </c>
      <c r="T282" s="35">
        <v>0</v>
      </c>
      <c r="U282" s="35">
        <v>0</v>
      </c>
      <c r="V282" s="35">
        <v>0</v>
      </c>
      <c r="W282" s="46">
        <f>G282</f>
        <v>2369978.23</v>
      </c>
      <c r="X282" s="165">
        <v>2016</v>
      </c>
      <c r="Y282" s="165">
        <v>2016</v>
      </c>
      <c r="Z282" s="176">
        <f t="shared" si="31"/>
        <v>161</v>
      </c>
    </row>
    <row r="283" spans="1:26" s="122" customFormat="1" ht="18" customHeight="1">
      <c r="A283" s="165">
        <f t="shared" si="30"/>
        <v>249</v>
      </c>
      <c r="B283" s="24" t="s">
        <v>625</v>
      </c>
      <c r="C283" s="148">
        <v>1950</v>
      </c>
      <c r="D283" s="165"/>
      <c r="E283" s="126">
        <v>716.5</v>
      </c>
      <c r="F283" s="49">
        <v>665.3</v>
      </c>
      <c r="G283" s="46">
        <f>H283+J283+K283+M283+O283+Q283+S283</f>
        <v>846886.98</v>
      </c>
      <c r="H283" s="46">
        <v>0</v>
      </c>
      <c r="I283" s="46"/>
      <c r="J283" s="46">
        <v>0</v>
      </c>
      <c r="K283" s="46">
        <v>0</v>
      </c>
      <c r="L283" s="35">
        <f>K283/F283</f>
        <v>0</v>
      </c>
      <c r="M283" s="46">
        <v>0</v>
      </c>
      <c r="N283" s="46"/>
      <c r="O283" s="46">
        <f>ROUND(665.3*1272.94,2)-S283</f>
        <v>796073.76</v>
      </c>
      <c r="P283" s="35">
        <f>O283/F283</f>
        <v>1196.5635953705096</v>
      </c>
      <c r="Q283" s="46">
        <v>0</v>
      </c>
      <c r="R283" s="46"/>
      <c r="S283" s="46">
        <v>50813.22</v>
      </c>
      <c r="T283" s="46">
        <v>0</v>
      </c>
      <c r="U283" s="46">
        <v>0</v>
      </c>
      <c r="V283" s="46">
        <v>0</v>
      </c>
      <c r="W283" s="46">
        <f>G283</f>
        <v>846886.98</v>
      </c>
      <c r="X283" s="165">
        <v>2015</v>
      </c>
      <c r="Y283" s="165">
        <v>2017</v>
      </c>
      <c r="Z283" s="176">
        <f t="shared" si="31"/>
        <v>162</v>
      </c>
    </row>
    <row r="284" spans="1:26" s="122" customFormat="1" ht="18" customHeight="1">
      <c r="A284" s="165">
        <f t="shared" si="30"/>
        <v>250</v>
      </c>
      <c r="B284" s="24" t="s">
        <v>626</v>
      </c>
      <c r="C284" s="148">
        <v>1956</v>
      </c>
      <c r="D284" s="51"/>
      <c r="E284" s="126">
        <v>1082.7</v>
      </c>
      <c r="F284" s="49">
        <v>551.6</v>
      </c>
      <c r="G284" s="46">
        <f>H284+J284+K284+M284+O284+Q284+S284</f>
        <v>2897940.9200000004</v>
      </c>
      <c r="H284" s="46">
        <v>0</v>
      </c>
      <c r="I284" s="46"/>
      <c r="J284" s="46">
        <v>0</v>
      </c>
      <c r="K284" s="46">
        <f>ROUND(551.6*3980.76,2)</f>
        <v>2195787.2200000002</v>
      </c>
      <c r="L284" s="35">
        <f>K284/F284</f>
        <v>3980.760007251632</v>
      </c>
      <c r="M284" s="46">
        <v>0</v>
      </c>
      <c r="N284" s="46"/>
      <c r="O284" s="46">
        <f>ROUND(551.6*1272.94,2)-S284</f>
        <v>660024.48</v>
      </c>
      <c r="P284" s="35">
        <f>O284/F284</f>
        <v>1196.563596809282</v>
      </c>
      <c r="Q284" s="46">
        <v>0</v>
      </c>
      <c r="R284" s="46"/>
      <c r="S284" s="46">
        <v>42129.22</v>
      </c>
      <c r="T284" s="46">
        <v>0</v>
      </c>
      <c r="U284" s="46">
        <v>0</v>
      </c>
      <c r="V284" s="46">
        <v>0</v>
      </c>
      <c r="W284" s="46">
        <f>G284</f>
        <v>2897940.9200000004</v>
      </c>
      <c r="X284" s="165">
        <v>2015</v>
      </c>
      <c r="Y284" s="165">
        <v>2017</v>
      </c>
      <c r="Z284" s="176">
        <f t="shared" si="31"/>
        <v>163</v>
      </c>
    </row>
    <row r="285" spans="1:26" s="122" customFormat="1" ht="18" customHeight="1">
      <c r="A285" s="165">
        <f t="shared" si="30"/>
        <v>251</v>
      </c>
      <c r="B285" s="24" t="s">
        <v>189</v>
      </c>
      <c r="C285" s="148">
        <v>1956</v>
      </c>
      <c r="D285" s="51"/>
      <c r="E285" s="126">
        <v>683.3</v>
      </c>
      <c r="F285" s="49">
        <v>459.1</v>
      </c>
      <c r="G285" s="46">
        <f>H285+J285+K285+M285+O285+Q285+S285</f>
        <v>1827566.92</v>
      </c>
      <c r="H285" s="46">
        <v>0</v>
      </c>
      <c r="I285" s="46"/>
      <c r="J285" s="46">
        <v>0</v>
      </c>
      <c r="K285" s="46">
        <f>ROUND(459.1*3980.76,2)</f>
        <v>1827566.92</v>
      </c>
      <c r="L285" s="35">
        <f>K285/F285</f>
        <v>3980.7600087126984</v>
      </c>
      <c r="M285" s="46">
        <v>0</v>
      </c>
      <c r="N285" s="46"/>
      <c r="O285" s="46">
        <v>0</v>
      </c>
      <c r="P285" s="35">
        <f>O285/F285</f>
        <v>0</v>
      </c>
      <c r="Q285" s="46">
        <v>0</v>
      </c>
      <c r="R285" s="46"/>
      <c r="S285" s="46">
        <v>0</v>
      </c>
      <c r="T285" s="46">
        <v>0</v>
      </c>
      <c r="U285" s="46">
        <v>0</v>
      </c>
      <c r="V285" s="46">
        <v>0</v>
      </c>
      <c r="W285" s="46">
        <f>G285</f>
        <v>1827566.92</v>
      </c>
      <c r="X285" s="165">
        <v>2015</v>
      </c>
      <c r="Y285" s="165">
        <v>2017</v>
      </c>
      <c r="Z285" s="176">
        <f t="shared" si="31"/>
        <v>164</v>
      </c>
    </row>
    <row r="286" spans="1:26" s="122" customFormat="1" ht="18" customHeight="1">
      <c r="A286" s="165">
        <f t="shared" si="30"/>
        <v>252</v>
      </c>
      <c r="B286" s="24" t="s">
        <v>190</v>
      </c>
      <c r="C286" s="148">
        <v>1956</v>
      </c>
      <c r="D286" s="51"/>
      <c r="E286" s="126">
        <v>2052.4</v>
      </c>
      <c r="F286" s="49">
        <v>1448.1</v>
      </c>
      <c r="G286" s="46">
        <f>H286+J286+K286+M286+O286+Q286+S286</f>
        <v>4064671.8899999997</v>
      </c>
      <c r="H286" s="46">
        <v>0</v>
      </c>
      <c r="I286" s="46"/>
      <c r="J286" s="46">
        <v>0</v>
      </c>
      <c r="K286" s="46">
        <f>ROUND(1448.1*1724.9,2)</f>
        <v>2497827.69</v>
      </c>
      <c r="L286" s="35">
        <f>K286/F286</f>
        <v>1724.9</v>
      </c>
      <c r="M286" s="46">
        <v>0</v>
      </c>
      <c r="N286" s="46"/>
      <c r="O286" s="46">
        <f>ROUND(1448.1*1082,2)</f>
        <v>1566844.2</v>
      </c>
      <c r="P286" s="35">
        <f>O286/F286</f>
        <v>1082</v>
      </c>
      <c r="Q286" s="46">
        <v>0</v>
      </c>
      <c r="R286" s="46"/>
      <c r="S286" s="46">
        <v>0</v>
      </c>
      <c r="T286" s="46">
        <v>0</v>
      </c>
      <c r="U286" s="46">
        <v>0</v>
      </c>
      <c r="V286" s="46">
        <v>0</v>
      </c>
      <c r="W286" s="46">
        <f>G286</f>
        <v>4064671.8899999997</v>
      </c>
      <c r="X286" s="165">
        <v>2015</v>
      </c>
      <c r="Y286" s="165">
        <v>2017</v>
      </c>
      <c r="Z286" s="176">
        <f t="shared" si="31"/>
        <v>165</v>
      </c>
    </row>
    <row r="287" spans="1:26" s="122" customFormat="1" ht="18" customHeight="1">
      <c r="A287" s="165">
        <f t="shared" si="30"/>
        <v>253</v>
      </c>
      <c r="B287" s="24" t="s">
        <v>409</v>
      </c>
      <c r="C287" s="148">
        <v>1955</v>
      </c>
      <c r="D287" s="165" t="s">
        <v>596</v>
      </c>
      <c r="E287" s="49">
        <v>6911.1</v>
      </c>
      <c r="F287" s="49">
        <v>4964.8</v>
      </c>
      <c r="G287" s="46">
        <f>H287+J287+K287+M287+O287+Q287+S287</f>
        <v>19526508.75</v>
      </c>
      <c r="H287" s="35">
        <v>0</v>
      </c>
      <c r="I287" s="35"/>
      <c r="J287" s="35">
        <v>0</v>
      </c>
      <c r="K287" s="46">
        <v>7919898.6100000003</v>
      </c>
      <c r="L287" s="35">
        <f>K287/F287</f>
        <v>1595.2100004028359</v>
      </c>
      <c r="M287" s="35">
        <v>0</v>
      </c>
      <c r="N287" s="35"/>
      <c r="O287" s="46">
        <v>11606610.140000001</v>
      </c>
      <c r="P287" s="35">
        <f>O287/F287</f>
        <v>2337.779999194328</v>
      </c>
      <c r="Q287" s="35">
        <v>0</v>
      </c>
      <c r="R287" s="35"/>
      <c r="S287" s="35">
        <v>0</v>
      </c>
      <c r="T287" s="35">
        <v>0</v>
      </c>
      <c r="U287" s="35">
        <v>0</v>
      </c>
      <c r="V287" s="35">
        <v>0</v>
      </c>
      <c r="W287" s="46">
        <f>G287</f>
        <v>19526508.75</v>
      </c>
      <c r="X287" s="165">
        <v>2016</v>
      </c>
      <c r="Y287" s="165">
        <v>2017</v>
      </c>
      <c r="Z287" s="176">
        <f t="shared" si="31"/>
        <v>166</v>
      </c>
    </row>
    <row r="288" spans="1:26" s="122" customFormat="1" ht="18" customHeight="1">
      <c r="A288" s="165">
        <f t="shared" si="30"/>
        <v>254</v>
      </c>
      <c r="B288" s="24" t="s">
        <v>186</v>
      </c>
      <c r="C288" s="148">
        <v>1935</v>
      </c>
      <c r="D288" s="51" t="s">
        <v>596</v>
      </c>
      <c r="E288" s="126">
        <v>2991</v>
      </c>
      <c r="F288" s="49">
        <v>1936.5</v>
      </c>
      <c r="G288" s="46">
        <f>H288+J288+K288+M288+O288+Q288+S288</f>
        <v>4527110.97</v>
      </c>
      <c r="H288" s="46">
        <v>0</v>
      </c>
      <c r="I288" s="46"/>
      <c r="J288" s="46">
        <v>0</v>
      </c>
      <c r="K288" s="46">
        <v>0</v>
      </c>
      <c r="L288" s="35">
        <f>K288/F288</f>
        <v>0</v>
      </c>
      <c r="M288" s="46">
        <v>0</v>
      </c>
      <c r="N288" s="46"/>
      <c r="O288" s="46">
        <f>ROUND(1936.5*2337.78,2)</f>
        <v>4527110.97</v>
      </c>
      <c r="P288" s="35">
        <f>O288/F288</f>
        <v>2337.7799999999997</v>
      </c>
      <c r="Q288" s="46">
        <v>0</v>
      </c>
      <c r="R288" s="46"/>
      <c r="S288" s="46">
        <v>0</v>
      </c>
      <c r="T288" s="46">
        <v>0</v>
      </c>
      <c r="U288" s="46">
        <v>0</v>
      </c>
      <c r="V288" s="46">
        <v>0</v>
      </c>
      <c r="W288" s="46">
        <f>G288</f>
        <v>4527110.97</v>
      </c>
      <c r="X288" s="165">
        <v>2015</v>
      </c>
      <c r="Y288" s="165">
        <v>2017</v>
      </c>
      <c r="Z288" s="176">
        <f t="shared" si="31"/>
        <v>167</v>
      </c>
    </row>
    <row r="289" spans="1:26" s="122" customFormat="1" ht="18" customHeight="1">
      <c r="A289" s="165">
        <f t="shared" si="30"/>
        <v>255</v>
      </c>
      <c r="B289" s="52" t="s">
        <v>504</v>
      </c>
      <c r="C289" s="148">
        <v>1971</v>
      </c>
      <c r="D289" s="165"/>
      <c r="E289" s="49">
        <v>3589.6</v>
      </c>
      <c r="F289" s="49">
        <v>2078</v>
      </c>
      <c r="G289" s="46">
        <f>H289+J289+K289+M289+O289+Q289+S289</f>
        <v>1900414.12</v>
      </c>
      <c r="H289" s="35">
        <v>0</v>
      </c>
      <c r="I289" s="35"/>
      <c r="J289" s="35">
        <v>0</v>
      </c>
      <c r="K289" s="46">
        <f>ROUND(914.54*F289,2)</f>
        <v>1900414.12</v>
      </c>
      <c r="L289" s="35">
        <f>K289/F289</f>
        <v>914.54000000000008</v>
      </c>
      <c r="M289" s="35">
        <v>0</v>
      </c>
      <c r="N289" s="35"/>
      <c r="O289" s="35">
        <v>0</v>
      </c>
      <c r="P289" s="35"/>
      <c r="Q289" s="35">
        <v>0</v>
      </c>
      <c r="R289" s="35"/>
      <c r="S289" s="35">
        <v>0</v>
      </c>
      <c r="T289" s="35">
        <v>0</v>
      </c>
      <c r="U289" s="35">
        <v>0</v>
      </c>
      <c r="V289" s="35">
        <v>0</v>
      </c>
      <c r="W289" s="46">
        <f>G289</f>
        <v>1900414.12</v>
      </c>
      <c r="X289" s="165">
        <v>2016</v>
      </c>
      <c r="Y289" s="165">
        <v>2016</v>
      </c>
      <c r="Z289" s="176">
        <f t="shared" si="31"/>
        <v>168</v>
      </c>
    </row>
    <row r="290" spans="1:26" s="120" customFormat="1" ht="19.5" customHeight="1">
      <c r="A290" s="185" t="s">
        <v>208</v>
      </c>
      <c r="B290" s="185"/>
      <c r="C290" s="148"/>
      <c r="D290" s="165"/>
      <c r="E290" s="29">
        <f>SUM(E114:E157)</f>
        <v>182704.2</v>
      </c>
      <c r="F290" s="29">
        <f>SUM(F114:F157)</f>
        <v>164197.50000000003</v>
      </c>
      <c r="G290" s="19">
        <f>SUM(G114:G157)</f>
        <v>153846065.02999997</v>
      </c>
      <c r="H290" s="19">
        <f t="shared" ref="H290:V290" si="32">SUM(H114:H157)</f>
        <v>19580473.190000001</v>
      </c>
      <c r="I290" s="19">
        <f t="shared" si="32"/>
        <v>0</v>
      </c>
      <c r="J290" s="19">
        <f t="shared" si="32"/>
        <v>25725274.629999999</v>
      </c>
      <c r="K290" s="19">
        <f t="shared" si="32"/>
        <v>105913229.3</v>
      </c>
      <c r="L290" s="19">
        <f t="shared" si="32"/>
        <v>0</v>
      </c>
      <c r="M290" s="19">
        <f t="shared" si="32"/>
        <v>0</v>
      </c>
      <c r="N290" s="19">
        <f t="shared" si="32"/>
        <v>0</v>
      </c>
      <c r="O290" s="19">
        <f t="shared" si="32"/>
        <v>2627087.91</v>
      </c>
      <c r="P290" s="19">
        <f t="shared" si="32"/>
        <v>0</v>
      </c>
      <c r="Q290" s="19">
        <f t="shared" si="32"/>
        <v>0</v>
      </c>
      <c r="R290" s="19">
        <f t="shared" si="32"/>
        <v>0</v>
      </c>
      <c r="S290" s="19">
        <f t="shared" si="32"/>
        <v>0</v>
      </c>
      <c r="T290" s="19">
        <f t="shared" si="32"/>
        <v>0</v>
      </c>
      <c r="U290" s="19">
        <f t="shared" si="32"/>
        <v>0</v>
      </c>
      <c r="V290" s="19">
        <f t="shared" si="32"/>
        <v>150376265.02999997</v>
      </c>
      <c r="W290" s="19">
        <f>SUM(W114:W157)</f>
        <v>3469800</v>
      </c>
      <c r="X290" s="20" t="s">
        <v>447</v>
      </c>
      <c r="Y290" s="20" t="s">
        <v>447</v>
      </c>
      <c r="Z290" s="178"/>
    </row>
    <row r="291" spans="1:26" s="120" customFormat="1" ht="19.5" customHeight="1">
      <c r="A291" s="185" t="s">
        <v>206</v>
      </c>
      <c r="B291" s="185"/>
      <c r="C291" s="148"/>
      <c r="D291" s="165"/>
      <c r="E291" s="29">
        <f>SUM(E158:E181)</f>
        <v>94856.400000000009</v>
      </c>
      <c r="F291" s="29">
        <f>SUM(F158:F181)</f>
        <v>89472.900000000009</v>
      </c>
      <c r="G291" s="19">
        <f>SUM(G158:G181)</f>
        <v>71179404.650000006</v>
      </c>
      <c r="H291" s="19">
        <f t="shared" ref="H291:V291" si="33">SUM(H158:H181)</f>
        <v>7467777</v>
      </c>
      <c r="I291" s="19">
        <f t="shared" si="33"/>
        <v>0</v>
      </c>
      <c r="J291" s="19">
        <f t="shared" si="33"/>
        <v>21281685.920000002</v>
      </c>
      <c r="K291" s="19">
        <f t="shared" si="33"/>
        <v>40247691.730000004</v>
      </c>
      <c r="L291" s="19">
        <f t="shared" si="33"/>
        <v>0</v>
      </c>
      <c r="M291" s="19">
        <f t="shared" si="33"/>
        <v>0</v>
      </c>
      <c r="N291" s="19">
        <f t="shared" si="33"/>
        <v>0</v>
      </c>
      <c r="O291" s="19">
        <f t="shared" si="33"/>
        <v>2182250</v>
      </c>
      <c r="P291" s="19">
        <f t="shared" si="33"/>
        <v>0</v>
      </c>
      <c r="Q291" s="19">
        <f t="shared" si="33"/>
        <v>0</v>
      </c>
      <c r="R291" s="19">
        <f t="shared" si="33"/>
        <v>0</v>
      </c>
      <c r="S291" s="19">
        <f t="shared" si="33"/>
        <v>0</v>
      </c>
      <c r="T291" s="19">
        <f t="shared" si="33"/>
        <v>0</v>
      </c>
      <c r="U291" s="19">
        <f t="shared" si="33"/>
        <v>0</v>
      </c>
      <c r="V291" s="19">
        <f t="shared" si="33"/>
        <v>0</v>
      </c>
      <c r="W291" s="19">
        <f>SUM(W158:W181)</f>
        <v>71179404.650000006</v>
      </c>
      <c r="X291" s="20" t="s">
        <v>447</v>
      </c>
      <c r="Y291" s="20" t="s">
        <v>447</v>
      </c>
      <c r="Z291" s="178"/>
    </row>
    <row r="292" spans="1:26" s="120" customFormat="1" ht="19.5" customHeight="1">
      <c r="A292" s="185" t="s">
        <v>207</v>
      </c>
      <c r="B292" s="185"/>
      <c r="C292" s="148"/>
      <c r="D292" s="165"/>
      <c r="E292" s="29">
        <f>SUM(E182:E289)</f>
        <v>358469.20000000019</v>
      </c>
      <c r="F292" s="29">
        <f>SUM(F182:F289)</f>
        <v>286303.39999999979</v>
      </c>
      <c r="G292" s="19">
        <f>SUM(G182:G289)</f>
        <v>459527411.53800005</v>
      </c>
      <c r="H292" s="19">
        <f>SUM(H182:H289)</f>
        <v>16640572.524</v>
      </c>
      <c r="I292" s="19"/>
      <c r="J292" s="19">
        <f>SUM(J182:J289)</f>
        <v>4021580.94</v>
      </c>
      <c r="K292" s="19">
        <f>SUM(K182:K289)</f>
        <v>189901540.11400002</v>
      </c>
      <c r="L292" s="19"/>
      <c r="M292" s="19">
        <f>SUM(M182:M289)</f>
        <v>0</v>
      </c>
      <c r="N292" s="19">
        <f>SUM(N182:N289)</f>
        <v>0</v>
      </c>
      <c r="O292" s="19">
        <f>SUM(O182:O289)</f>
        <v>246487328.88999996</v>
      </c>
      <c r="P292" s="19"/>
      <c r="Q292" s="19">
        <f>SUM(Q182:Q289)</f>
        <v>262108.79999999999</v>
      </c>
      <c r="R292" s="19"/>
      <c r="S292" s="19">
        <f>SUM(S182:S289)</f>
        <v>2214280.2700000005</v>
      </c>
      <c r="T292" s="19">
        <f>SUM(T182:T289)</f>
        <v>0</v>
      </c>
      <c r="U292" s="19">
        <f>SUM(U182:U289)</f>
        <v>0</v>
      </c>
      <c r="V292" s="19">
        <f>SUM(V182:V289)</f>
        <v>1734505.1</v>
      </c>
      <c r="W292" s="19">
        <f>SUM(W182:W289)</f>
        <v>457792906.43800002</v>
      </c>
      <c r="X292" s="20" t="s">
        <v>447</v>
      </c>
      <c r="Y292" s="20" t="s">
        <v>447</v>
      </c>
      <c r="Z292" s="178"/>
    </row>
    <row r="293" spans="1:26" s="120" customFormat="1" ht="18" customHeight="1">
      <c r="A293" s="187" t="s">
        <v>195</v>
      </c>
      <c r="B293" s="187"/>
      <c r="C293" s="187"/>
      <c r="D293" s="187"/>
      <c r="E293" s="187"/>
      <c r="F293" s="187"/>
      <c r="G293" s="187"/>
      <c r="H293" s="187"/>
      <c r="I293" s="187"/>
      <c r="J293" s="187"/>
      <c r="K293" s="187"/>
      <c r="L293" s="187"/>
      <c r="M293" s="187"/>
      <c r="N293" s="187"/>
      <c r="O293" s="187"/>
      <c r="P293" s="187"/>
      <c r="Q293" s="187"/>
      <c r="R293" s="187"/>
      <c r="S293" s="187"/>
      <c r="T293" s="187"/>
      <c r="U293" s="187"/>
      <c r="V293" s="187"/>
      <c r="W293" s="187"/>
      <c r="X293" s="163"/>
      <c r="Y293" s="163"/>
      <c r="Z293" s="178"/>
    </row>
    <row r="294" spans="1:26" s="122" customFormat="1" ht="18" customHeight="1">
      <c r="A294" s="165">
        <f>A289+1</f>
        <v>256</v>
      </c>
      <c r="B294" s="24" t="s">
        <v>196</v>
      </c>
      <c r="C294" s="148">
        <v>1957</v>
      </c>
      <c r="D294" s="51"/>
      <c r="E294" s="49">
        <v>1786.5</v>
      </c>
      <c r="F294" s="49">
        <v>1636.2</v>
      </c>
      <c r="G294" s="46">
        <f>SUM(H294:S294)</f>
        <v>874766.9</v>
      </c>
      <c r="H294" s="35">
        <v>874766.9</v>
      </c>
      <c r="I294" s="35"/>
      <c r="J294" s="35">
        <v>0</v>
      </c>
      <c r="K294" s="35">
        <v>0</v>
      </c>
      <c r="L294" s="35"/>
      <c r="M294" s="35">
        <v>0</v>
      </c>
      <c r="N294" s="35"/>
      <c r="O294" s="35">
        <v>0</v>
      </c>
      <c r="P294" s="35"/>
      <c r="Q294" s="35">
        <v>0</v>
      </c>
      <c r="R294" s="35"/>
      <c r="S294" s="35">
        <v>0</v>
      </c>
      <c r="T294" s="35">
        <v>0</v>
      </c>
      <c r="U294" s="35">
        <v>0</v>
      </c>
      <c r="V294" s="35">
        <v>0</v>
      </c>
      <c r="W294" s="46">
        <f t="shared" ref="W294:W305" si="34">G294</f>
        <v>874766.9</v>
      </c>
      <c r="X294" s="165">
        <v>2015</v>
      </c>
      <c r="Y294" s="165">
        <v>2015</v>
      </c>
      <c r="Z294" s="176"/>
    </row>
    <row r="295" spans="1:26" s="122" customFormat="1" ht="18" customHeight="1">
      <c r="A295" s="165">
        <f>A294+1</f>
        <v>257</v>
      </c>
      <c r="B295" s="24" t="s">
        <v>197</v>
      </c>
      <c r="C295" s="148">
        <v>1957</v>
      </c>
      <c r="D295" s="51"/>
      <c r="E295" s="49">
        <v>1220.0999999999999</v>
      </c>
      <c r="F295" s="49">
        <v>1114</v>
      </c>
      <c r="G295" s="46">
        <f>SUM(H295:S295)</f>
        <v>1815263.4</v>
      </c>
      <c r="H295" s="35">
        <v>646042.42000000004</v>
      </c>
      <c r="I295" s="35"/>
      <c r="J295" s="35">
        <v>0</v>
      </c>
      <c r="K295" s="35">
        <v>1169220.98</v>
      </c>
      <c r="L295" s="35"/>
      <c r="M295" s="35">
        <v>0</v>
      </c>
      <c r="N295" s="35"/>
      <c r="O295" s="35">
        <v>0</v>
      </c>
      <c r="P295" s="35"/>
      <c r="Q295" s="35">
        <v>0</v>
      </c>
      <c r="R295" s="35"/>
      <c r="S295" s="35">
        <v>0</v>
      </c>
      <c r="T295" s="35">
        <v>0</v>
      </c>
      <c r="U295" s="35">
        <v>0</v>
      </c>
      <c r="V295" s="35">
        <v>0</v>
      </c>
      <c r="W295" s="46">
        <f t="shared" si="34"/>
        <v>1815263.4</v>
      </c>
      <c r="X295" s="165">
        <v>2015</v>
      </c>
      <c r="Y295" s="165">
        <v>2015</v>
      </c>
      <c r="Z295" s="176"/>
    </row>
    <row r="296" spans="1:26" s="122" customFormat="1" ht="18" customHeight="1">
      <c r="A296" s="165">
        <f t="shared" ref="A296:A305" si="35">A295+1</f>
        <v>258</v>
      </c>
      <c r="B296" s="24" t="s">
        <v>198</v>
      </c>
      <c r="C296" s="148">
        <v>1957</v>
      </c>
      <c r="D296" s="51"/>
      <c r="E296" s="49">
        <v>1585.1</v>
      </c>
      <c r="F296" s="49">
        <v>1451.2</v>
      </c>
      <c r="G296" s="46">
        <f>SUM(H296:S296)</f>
        <v>2406756.6</v>
      </c>
      <c r="H296" s="35">
        <v>711187.6</v>
      </c>
      <c r="I296" s="35"/>
      <c r="J296" s="35">
        <v>0</v>
      </c>
      <c r="K296" s="35">
        <v>1695569</v>
      </c>
      <c r="L296" s="35"/>
      <c r="M296" s="35">
        <v>0</v>
      </c>
      <c r="N296" s="35"/>
      <c r="O296" s="35">
        <v>0</v>
      </c>
      <c r="P296" s="35"/>
      <c r="Q296" s="35">
        <v>0</v>
      </c>
      <c r="R296" s="35"/>
      <c r="S296" s="35">
        <v>0</v>
      </c>
      <c r="T296" s="35">
        <v>0</v>
      </c>
      <c r="U296" s="35">
        <v>0</v>
      </c>
      <c r="V296" s="35">
        <v>0</v>
      </c>
      <c r="W296" s="46">
        <f t="shared" si="34"/>
        <v>2406756.6</v>
      </c>
      <c r="X296" s="165">
        <v>2015</v>
      </c>
      <c r="Y296" s="165">
        <v>2015</v>
      </c>
      <c r="Z296" s="176"/>
    </row>
    <row r="297" spans="1:26" s="122" customFormat="1" ht="18" customHeight="1">
      <c r="A297" s="165">
        <f t="shared" si="35"/>
        <v>259</v>
      </c>
      <c r="B297" s="54" t="s">
        <v>197</v>
      </c>
      <c r="C297" s="153">
        <v>1957</v>
      </c>
      <c r="D297" s="51"/>
      <c r="E297" s="55">
        <v>1220.0999999999999</v>
      </c>
      <c r="F297" s="132">
        <v>1114</v>
      </c>
      <c r="G297" s="46">
        <f>H297+J297+K297+M297+O297+Q297+S297</f>
        <v>1830056.92</v>
      </c>
      <c r="H297" s="35">
        <v>0</v>
      </c>
      <c r="I297" s="57"/>
      <c r="J297" s="35">
        <v>0</v>
      </c>
      <c r="K297" s="35">
        <v>0</v>
      </c>
      <c r="L297" s="35">
        <f>K297/F297</f>
        <v>0</v>
      </c>
      <c r="M297" s="56">
        <f>F297*280.39</f>
        <v>312354.45999999996</v>
      </c>
      <c r="N297" s="35">
        <f>M297/F297</f>
        <v>280.39</v>
      </c>
      <c r="O297" s="56">
        <f>F297*1082</f>
        <v>1205348</v>
      </c>
      <c r="P297" s="35">
        <f>O297/F297</f>
        <v>1082</v>
      </c>
      <c r="Q297" s="56">
        <f>F297*280.39</f>
        <v>312354.45999999996</v>
      </c>
      <c r="R297" s="46">
        <f>Q297/F297</f>
        <v>280.39</v>
      </c>
      <c r="S297" s="35">
        <v>0</v>
      </c>
      <c r="T297" s="35">
        <v>0</v>
      </c>
      <c r="U297" s="35">
        <v>0</v>
      </c>
      <c r="V297" s="35">
        <v>0</v>
      </c>
      <c r="W297" s="46">
        <f>G297</f>
        <v>1830056.92</v>
      </c>
      <c r="X297" s="165">
        <v>2016</v>
      </c>
      <c r="Y297" s="165">
        <v>2017</v>
      </c>
      <c r="Z297" s="176">
        <f>Z289+1</f>
        <v>169</v>
      </c>
    </row>
    <row r="298" spans="1:26" s="122" customFormat="1" ht="18" customHeight="1">
      <c r="A298" s="165">
        <f t="shared" si="35"/>
        <v>260</v>
      </c>
      <c r="B298" s="54" t="s">
        <v>198</v>
      </c>
      <c r="C298" s="153">
        <v>1957</v>
      </c>
      <c r="D298" s="51"/>
      <c r="E298" s="55">
        <v>1585.1</v>
      </c>
      <c r="F298" s="132">
        <v>1451.2</v>
      </c>
      <c r="G298" s="46">
        <f>H298+J298+K298+M298+O298+Q298+S298</f>
        <v>2384002.3360000001</v>
      </c>
      <c r="H298" s="35">
        <v>0</v>
      </c>
      <c r="I298" s="57"/>
      <c r="J298" s="35">
        <v>0</v>
      </c>
      <c r="K298" s="35">
        <v>0</v>
      </c>
      <c r="L298" s="35">
        <f>K298/F298</f>
        <v>0</v>
      </c>
      <c r="M298" s="56">
        <f>F298*280.39</f>
        <v>406901.96799999999</v>
      </c>
      <c r="N298" s="35">
        <f>M298/F298</f>
        <v>280.39</v>
      </c>
      <c r="O298" s="56">
        <f>F298*1082</f>
        <v>1570198.4000000001</v>
      </c>
      <c r="P298" s="35">
        <f>O298/F298</f>
        <v>1082</v>
      </c>
      <c r="Q298" s="174">
        <f>F298*280.39</f>
        <v>406901.96799999999</v>
      </c>
      <c r="R298" s="46">
        <f>Q298/F298</f>
        <v>280.39</v>
      </c>
      <c r="S298" s="35">
        <v>0</v>
      </c>
      <c r="T298" s="35">
        <v>0</v>
      </c>
      <c r="U298" s="35">
        <v>0</v>
      </c>
      <c r="V298" s="35">
        <v>0</v>
      </c>
      <c r="W298" s="46">
        <f>G298</f>
        <v>2384002.3360000001</v>
      </c>
      <c r="X298" s="165">
        <v>2016</v>
      </c>
      <c r="Y298" s="165">
        <v>2017</v>
      </c>
      <c r="Z298" s="176">
        <f>Z297+1</f>
        <v>170</v>
      </c>
    </row>
    <row r="299" spans="1:26" s="122" customFormat="1" ht="18" customHeight="1">
      <c r="A299" s="165">
        <f t="shared" si="35"/>
        <v>261</v>
      </c>
      <c r="B299" s="24" t="s">
        <v>199</v>
      </c>
      <c r="C299" s="148">
        <v>1955</v>
      </c>
      <c r="D299" s="51"/>
      <c r="E299" s="49">
        <v>1201.7</v>
      </c>
      <c r="F299" s="57">
        <v>1093.7</v>
      </c>
      <c r="G299" s="46">
        <f>H299+J299+K299+M299+O299+Q299+S299</f>
        <v>3779788.2660000003</v>
      </c>
      <c r="H299" s="35">
        <v>649951.68000000005</v>
      </c>
      <c r="I299" s="46">
        <f>H299/F299</f>
        <v>594.26870256926031</v>
      </c>
      <c r="J299" s="35">
        <v>0</v>
      </c>
      <c r="K299" s="35">
        <v>1333128.1000000001</v>
      </c>
      <c r="L299" s="35">
        <f>K299/F299</f>
        <v>1218.915699003383</v>
      </c>
      <c r="M299" s="35">
        <f>F299*280.39</f>
        <v>306662.54300000001</v>
      </c>
      <c r="N299" s="35">
        <f>M299/F299</f>
        <v>280.39</v>
      </c>
      <c r="O299" s="35">
        <f>F299*1082</f>
        <v>1183383.4000000001</v>
      </c>
      <c r="P299" s="35">
        <f>O299/F299</f>
        <v>1082</v>
      </c>
      <c r="Q299" s="35">
        <f>F299*280.39</f>
        <v>306662.54300000001</v>
      </c>
      <c r="R299" s="46">
        <f>Q299/F299</f>
        <v>280.39</v>
      </c>
      <c r="S299" s="35">
        <v>0</v>
      </c>
      <c r="T299" s="35">
        <v>0</v>
      </c>
      <c r="U299" s="35">
        <v>0</v>
      </c>
      <c r="V299" s="35">
        <v>0</v>
      </c>
      <c r="W299" s="46">
        <f>G299</f>
        <v>3779788.2660000003</v>
      </c>
      <c r="X299" s="165">
        <v>2015</v>
      </c>
      <c r="Y299" s="165">
        <v>2017</v>
      </c>
      <c r="Z299" s="176">
        <f t="shared" ref="Z299:Z305" si="36">Z298+1</f>
        <v>171</v>
      </c>
    </row>
    <row r="300" spans="1:26" s="122" customFormat="1" ht="18" customHeight="1">
      <c r="A300" s="165">
        <f t="shared" si="35"/>
        <v>262</v>
      </c>
      <c r="B300" s="54" t="s">
        <v>200</v>
      </c>
      <c r="C300" s="153">
        <v>1956</v>
      </c>
      <c r="D300" s="51"/>
      <c r="E300" s="55">
        <v>994.5</v>
      </c>
      <c r="F300" s="126">
        <v>883</v>
      </c>
      <c r="G300" s="46">
        <f>H300+J300+K300+M300+O300+Q300+S300</f>
        <v>4768606.18</v>
      </c>
      <c r="H300" s="130">
        <f>F300*(181.16+274.43+276.91+687.2)</f>
        <v>1253595.1000000001</v>
      </c>
      <c r="I300" s="46">
        <f>H300/F300</f>
        <v>1419.7</v>
      </c>
      <c r="J300" s="35">
        <v>0</v>
      </c>
      <c r="K300" s="56">
        <f>F300*3980.76</f>
        <v>3515011.08</v>
      </c>
      <c r="L300" s="35">
        <f>K300/F300</f>
        <v>3980.76</v>
      </c>
      <c r="M300" s="35">
        <v>0</v>
      </c>
      <c r="N300" s="35"/>
      <c r="O300" s="35">
        <v>0</v>
      </c>
      <c r="P300" s="35">
        <f>O300/F300</f>
        <v>0</v>
      </c>
      <c r="Q300" s="35">
        <v>0</v>
      </c>
      <c r="R300" s="35"/>
      <c r="S300" s="35">
        <v>0</v>
      </c>
      <c r="T300" s="35">
        <v>0</v>
      </c>
      <c r="U300" s="35">
        <v>0</v>
      </c>
      <c r="V300" s="35">
        <v>0</v>
      </c>
      <c r="W300" s="46">
        <f>G300</f>
        <v>4768606.18</v>
      </c>
      <c r="X300" s="165">
        <v>2015</v>
      </c>
      <c r="Y300" s="165">
        <v>2016</v>
      </c>
      <c r="Z300" s="176">
        <f t="shared" si="36"/>
        <v>172</v>
      </c>
    </row>
    <row r="301" spans="1:26" s="122" customFormat="1" ht="18" customHeight="1">
      <c r="A301" s="165">
        <f t="shared" si="35"/>
        <v>263</v>
      </c>
      <c r="B301" s="24" t="s">
        <v>201</v>
      </c>
      <c r="C301" s="148">
        <v>1958</v>
      </c>
      <c r="D301" s="51"/>
      <c r="E301" s="49">
        <v>1211.9000000000001</v>
      </c>
      <c r="F301" s="126">
        <f>1031+74.8</f>
        <v>1105.8</v>
      </c>
      <c r="G301" s="46">
        <f>H301+J301+K301+M301+O301+Q301+S301</f>
        <v>1799920.31</v>
      </c>
      <c r="H301" s="35">
        <v>593278.16</v>
      </c>
      <c r="I301" s="46">
        <f>H301/F301</f>
        <v>536.51488515102199</v>
      </c>
      <c r="J301" s="35">
        <v>0</v>
      </c>
      <c r="K301" s="35">
        <v>1206642.1499999999</v>
      </c>
      <c r="L301" s="35">
        <f>K301/F301</f>
        <v>1091.1938415626696</v>
      </c>
      <c r="M301" s="35">
        <v>0</v>
      </c>
      <c r="N301" s="35"/>
      <c r="O301" s="35">
        <v>0</v>
      </c>
      <c r="P301" s="35">
        <f>O301/F301</f>
        <v>0</v>
      </c>
      <c r="Q301" s="35">
        <v>0</v>
      </c>
      <c r="R301" s="35"/>
      <c r="S301" s="35">
        <v>0</v>
      </c>
      <c r="T301" s="35">
        <v>0</v>
      </c>
      <c r="U301" s="35">
        <v>0</v>
      </c>
      <c r="V301" s="35">
        <v>0</v>
      </c>
      <c r="W301" s="46">
        <f>G301</f>
        <v>1799920.31</v>
      </c>
      <c r="X301" s="165">
        <v>2015</v>
      </c>
      <c r="Y301" s="165">
        <v>2016</v>
      </c>
      <c r="Z301" s="176">
        <f t="shared" si="36"/>
        <v>173</v>
      </c>
    </row>
    <row r="302" spans="1:26" s="122" customFormat="1" ht="18" customHeight="1">
      <c r="A302" s="165">
        <f t="shared" si="35"/>
        <v>264</v>
      </c>
      <c r="B302" s="54" t="s">
        <v>203</v>
      </c>
      <c r="C302" s="131">
        <v>1958</v>
      </c>
      <c r="D302" s="51"/>
      <c r="E302" s="55">
        <v>1429</v>
      </c>
      <c r="F302" s="132">
        <v>1107.0999999999999</v>
      </c>
      <c r="G302" s="46">
        <f>H302+J302+K302+M302+O302+Q302+S302</f>
        <v>3100654.9699999997</v>
      </c>
      <c r="H302" s="130">
        <v>1334597.98</v>
      </c>
      <c r="I302" s="35">
        <f>H302/F302</f>
        <v>1205.4900009032608</v>
      </c>
      <c r="J302" s="35">
        <v>0</v>
      </c>
      <c r="K302" s="56">
        <v>1766056.99</v>
      </c>
      <c r="L302" s="35">
        <f>K302/F302</f>
        <v>1595.2099990967392</v>
      </c>
      <c r="M302" s="35">
        <v>0</v>
      </c>
      <c r="N302" s="35"/>
      <c r="O302" s="35">
        <v>0</v>
      </c>
      <c r="P302" s="57"/>
      <c r="Q302" s="35">
        <v>0</v>
      </c>
      <c r="R302" s="35"/>
      <c r="S302" s="35">
        <v>0</v>
      </c>
      <c r="T302" s="35">
        <v>0</v>
      </c>
      <c r="U302" s="35">
        <v>0</v>
      </c>
      <c r="V302" s="35">
        <v>0</v>
      </c>
      <c r="W302" s="46">
        <f>G302</f>
        <v>3100654.9699999997</v>
      </c>
      <c r="X302" s="165">
        <v>2016</v>
      </c>
      <c r="Y302" s="165">
        <v>2016</v>
      </c>
      <c r="Z302" s="176">
        <f t="shared" si="36"/>
        <v>174</v>
      </c>
    </row>
    <row r="303" spans="1:26" s="122" customFormat="1" ht="18" customHeight="1">
      <c r="A303" s="165">
        <f t="shared" si="35"/>
        <v>265</v>
      </c>
      <c r="B303" s="54" t="s">
        <v>204</v>
      </c>
      <c r="C303" s="131">
        <v>1958</v>
      </c>
      <c r="D303" s="51"/>
      <c r="E303" s="55">
        <v>1292.8</v>
      </c>
      <c r="F303" s="132">
        <v>1102.2</v>
      </c>
      <c r="G303" s="46">
        <f>H303+J303+K303+M303+O303+Q303+S303</f>
        <v>3086931.54</v>
      </c>
      <c r="H303" s="130">
        <v>1328691.08</v>
      </c>
      <c r="I303" s="35">
        <f>H303/F303</f>
        <v>1205.4900018145527</v>
      </c>
      <c r="J303" s="35">
        <v>0</v>
      </c>
      <c r="K303" s="56">
        <v>1758240.46</v>
      </c>
      <c r="L303" s="35">
        <f>K303/F303</f>
        <v>1595.2099981854471</v>
      </c>
      <c r="M303" s="35">
        <v>0</v>
      </c>
      <c r="N303" s="35"/>
      <c r="O303" s="35">
        <v>0</v>
      </c>
      <c r="P303" s="57"/>
      <c r="Q303" s="35">
        <v>0</v>
      </c>
      <c r="R303" s="35"/>
      <c r="S303" s="35">
        <v>0</v>
      </c>
      <c r="T303" s="35">
        <v>0</v>
      </c>
      <c r="U303" s="35">
        <v>0</v>
      </c>
      <c r="V303" s="35">
        <v>0</v>
      </c>
      <c r="W303" s="46">
        <f>G303</f>
        <v>3086931.54</v>
      </c>
      <c r="X303" s="165">
        <v>2016</v>
      </c>
      <c r="Y303" s="165">
        <v>2016</v>
      </c>
      <c r="Z303" s="176">
        <f t="shared" si="36"/>
        <v>175</v>
      </c>
    </row>
    <row r="304" spans="1:26" s="122" customFormat="1" ht="18" customHeight="1">
      <c r="A304" s="165">
        <f t="shared" si="35"/>
        <v>266</v>
      </c>
      <c r="B304" s="54" t="s">
        <v>205</v>
      </c>
      <c r="C304" s="153">
        <v>1952</v>
      </c>
      <c r="D304" s="51"/>
      <c r="E304" s="55">
        <v>1206.8</v>
      </c>
      <c r="F304" s="132">
        <v>1105</v>
      </c>
      <c r="G304" s="46">
        <f>H304+J304+K304+M304+O304+Q304+S304</f>
        <v>1332066.45</v>
      </c>
      <c r="H304" s="130">
        <v>1332066.45</v>
      </c>
      <c r="I304" s="35">
        <f>H304/F304</f>
        <v>1205.49</v>
      </c>
      <c r="J304" s="35">
        <v>0</v>
      </c>
      <c r="K304" s="35">
        <v>0</v>
      </c>
      <c r="L304" s="57"/>
      <c r="M304" s="35">
        <v>0</v>
      </c>
      <c r="N304" s="35"/>
      <c r="O304" s="35">
        <v>0</v>
      </c>
      <c r="P304" s="57"/>
      <c r="Q304" s="35">
        <v>0</v>
      </c>
      <c r="R304" s="35"/>
      <c r="S304" s="35">
        <v>0</v>
      </c>
      <c r="T304" s="35">
        <v>0</v>
      </c>
      <c r="U304" s="35">
        <v>0</v>
      </c>
      <c r="V304" s="35">
        <v>0</v>
      </c>
      <c r="W304" s="46">
        <f>G304</f>
        <v>1332066.45</v>
      </c>
      <c r="X304" s="165">
        <v>2016</v>
      </c>
      <c r="Y304" s="165">
        <v>2016</v>
      </c>
      <c r="Z304" s="176">
        <f t="shared" si="36"/>
        <v>176</v>
      </c>
    </row>
    <row r="305" spans="1:26" s="122" customFormat="1" ht="18" customHeight="1">
      <c r="A305" s="165">
        <f t="shared" si="35"/>
        <v>267</v>
      </c>
      <c r="B305" s="54" t="s">
        <v>202</v>
      </c>
      <c r="C305" s="153">
        <v>1956</v>
      </c>
      <c r="D305" s="51"/>
      <c r="E305" s="55">
        <v>696.2</v>
      </c>
      <c r="F305" s="126">
        <v>627.70000000000005</v>
      </c>
      <c r="G305" s="46">
        <f>H305+J305+K305+M305+O305+Q305+S305</f>
        <v>3437747.49</v>
      </c>
      <c r="H305" s="35">
        <v>0</v>
      </c>
      <c r="I305" s="57"/>
      <c r="J305" s="35">
        <v>0</v>
      </c>
      <c r="K305" s="56">
        <f>F305*3980.76</f>
        <v>2498723.0520000001</v>
      </c>
      <c r="L305" s="35">
        <f>K305/F305</f>
        <v>3980.7599999999998</v>
      </c>
      <c r="M305" s="35">
        <v>0</v>
      </c>
      <c r="N305" s="35"/>
      <c r="O305" s="56">
        <f>F305*1272.94</f>
        <v>799024.43800000008</v>
      </c>
      <c r="P305" s="35">
        <f>O305/F305</f>
        <v>1272.94</v>
      </c>
      <c r="Q305" s="35">
        <v>0</v>
      </c>
      <c r="R305" s="35"/>
      <c r="S305" s="35">
        <v>140000</v>
      </c>
      <c r="T305" s="35">
        <v>0</v>
      </c>
      <c r="U305" s="35">
        <v>0</v>
      </c>
      <c r="V305" s="35">
        <v>0</v>
      </c>
      <c r="W305" s="46">
        <f>G305</f>
        <v>3437747.49</v>
      </c>
      <c r="X305" s="165">
        <v>2015</v>
      </c>
      <c r="Y305" s="165">
        <v>2016</v>
      </c>
      <c r="Z305" s="176">
        <f t="shared" si="36"/>
        <v>177</v>
      </c>
    </row>
    <row r="306" spans="1:26" s="120" customFormat="1" ht="19.5" customHeight="1">
      <c r="A306" s="185" t="s">
        <v>208</v>
      </c>
      <c r="B306" s="185"/>
      <c r="C306" s="148"/>
      <c r="D306" s="165"/>
      <c r="E306" s="28">
        <v>0</v>
      </c>
      <c r="F306" s="28">
        <v>0</v>
      </c>
      <c r="G306" s="19">
        <v>0</v>
      </c>
      <c r="H306" s="28">
        <v>0</v>
      </c>
      <c r="I306" s="28"/>
      <c r="J306" s="28">
        <v>0</v>
      </c>
      <c r="K306" s="28">
        <v>0</v>
      </c>
      <c r="L306" s="28"/>
      <c r="M306" s="28">
        <v>0</v>
      </c>
      <c r="N306" s="28"/>
      <c r="O306" s="28">
        <v>0</v>
      </c>
      <c r="P306" s="28"/>
      <c r="Q306" s="28">
        <v>0</v>
      </c>
      <c r="R306" s="28"/>
      <c r="S306" s="28">
        <v>0</v>
      </c>
      <c r="T306" s="28">
        <v>0</v>
      </c>
      <c r="U306" s="28">
        <v>0</v>
      </c>
      <c r="V306" s="28">
        <v>0</v>
      </c>
      <c r="W306" s="19">
        <v>0</v>
      </c>
      <c r="X306" s="20" t="s">
        <v>447</v>
      </c>
      <c r="Y306" s="20" t="s">
        <v>447</v>
      </c>
      <c r="Z306" s="178"/>
    </row>
    <row r="307" spans="1:26" s="120" customFormat="1" ht="19.5" customHeight="1">
      <c r="A307" s="185" t="s">
        <v>206</v>
      </c>
      <c r="B307" s="185"/>
      <c r="C307" s="148"/>
      <c r="D307" s="165"/>
      <c r="E307" s="29">
        <f>SUM(E294:E296)</f>
        <v>4591.7</v>
      </c>
      <c r="F307" s="28">
        <f>SUM(F294:F296)</f>
        <v>4201.3999999999996</v>
      </c>
      <c r="G307" s="19">
        <f t="shared" ref="G307:W307" si="37">SUM(G294:G296)</f>
        <v>5096786.9000000004</v>
      </c>
      <c r="H307" s="28">
        <f t="shared" si="37"/>
        <v>2231996.92</v>
      </c>
      <c r="I307" s="28"/>
      <c r="J307" s="28">
        <f t="shared" si="37"/>
        <v>0</v>
      </c>
      <c r="K307" s="28">
        <f t="shared" si="37"/>
        <v>2864789.98</v>
      </c>
      <c r="L307" s="28"/>
      <c r="M307" s="28">
        <f t="shared" si="37"/>
        <v>0</v>
      </c>
      <c r="N307" s="28"/>
      <c r="O307" s="28">
        <f t="shared" si="37"/>
        <v>0</v>
      </c>
      <c r="P307" s="28"/>
      <c r="Q307" s="28">
        <f t="shared" si="37"/>
        <v>0</v>
      </c>
      <c r="R307" s="28"/>
      <c r="S307" s="28">
        <f t="shared" si="37"/>
        <v>0</v>
      </c>
      <c r="T307" s="28">
        <f t="shared" si="37"/>
        <v>0</v>
      </c>
      <c r="U307" s="28">
        <f t="shared" si="37"/>
        <v>0</v>
      </c>
      <c r="V307" s="28">
        <f t="shared" si="37"/>
        <v>0</v>
      </c>
      <c r="W307" s="19">
        <f t="shared" si="37"/>
        <v>5096786.9000000004</v>
      </c>
      <c r="X307" s="20" t="s">
        <v>447</v>
      </c>
      <c r="Y307" s="20" t="s">
        <v>447</v>
      </c>
      <c r="Z307" s="178"/>
    </row>
    <row r="308" spans="1:26" s="120" customFormat="1" ht="19.5" customHeight="1">
      <c r="A308" s="185" t="s">
        <v>207</v>
      </c>
      <c r="B308" s="185"/>
      <c r="C308" s="148"/>
      <c r="D308" s="165"/>
      <c r="E308" s="29">
        <f>SUM(E297:E305)</f>
        <v>10838.099999999999</v>
      </c>
      <c r="F308" s="29">
        <f>SUM(F297:F305)</f>
        <v>9589.7000000000007</v>
      </c>
      <c r="G308" s="19">
        <f t="shared" ref="G308:W308" si="38">SUM(G297:G305)</f>
        <v>25519774.461999997</v>
      </c>
      <c r="H308" s="28">
        <f t="shared" si="38"/>
        <v>6492180.4500000002</v>
      </c>
      <c r="I308" s="28"/>
      <c r="J308" s="28">
        <f t="shared" si="38"/>
        <v>0</v>
      </c>
      <c r="K308" s="28">
        <f t="shared" si="38"/>
        <v>12077801.832000002</v>
      </c>
      <c r="L308" s="28"/>
      <c r="M308" s="28">
        <f t="shared" si="38"/>
        <v>1025918.9709999999</v>
      </c>
      <c r="N308" s="28"/>
      <c r="O308" s="28">
        <f t="shared" si="38"/>
        <v>4757954.2380000008</v>
      </c>
      <c r="P308" s="28"/>
      <c r="Q308" s="28">
        <f t="shared" si="38"/>
        <v>1025918.9709999999</v>
      </c>
      <c r="R308" s="28"/>
      <c r="S308" s="28">
        <f t="shared" si="38"/>
        <v>140000</v>
      </c>
      <c r="T308" s="28">
        <f t="shared" si="38"/>
        <v>0</v>
      </c>
      <c r="U308" s="28">
        <f t="shared" si="38"/>
        <v>0</v>
      </c>
      <c r="V308" s="28">
        <f t="shared" si="38"/>
        <v>0</v>
      </c>
      <c r="W308" s="19">
        <f t="shared" si="38"/>
        <v>25519774.461999997</v>
      </c>
      <c r="X308" s="20" t="s">
        <v>447</v>
      </c>
      <c r="Y308" s="20" t="s">
        <v>447</v>
      </c>
      <c r="Z308" s="178"/>
    </row>
    <row r="309" spans="1:26" s="120" customFormat="1" ht="18" customHeight="1">
      <c r="A309" s="187" t="s">
        <v>209</v>
      </c>
      <c r="B309" s="187"/>
      <c r="C309" s="187"/>
      <c r="D309" s="187"/>
      <c r="E309" s="187"/>
      <c r="F309" s="187"/>
      <c r="G309" s="187"/>
      <c r="H309" s="187"/>
      <c r="I309" s="187"/>
      <c r="J309" s="187"/>
      <c r="K309" s="187"/>
      <c r="L309" s="187"/>
      <c r="M309" s="187"/>
      <c r="N309" s="187"/>
      <c r="O309" s="187"/>
      <c r="P309" s="187"/>
      <c r="Q309" s="187"/>
      <c r="R309" s="187"/>
      <c r="S309" s="187"/>
      <c r="T309" s="187"/>
      <c r="U309" s="187"/>
      <c r="V309" s="187"/>
      <c r="W309" s="187"/>
      <c r="X309" s="163"/>
      <c r="Y309" s="163"/>
      <c r="Z309" s="178"/>
    </row>
    <row r="310" spans="1:26" s="122" customFormat="1" ht="18" customHeight="1">
      <c r="A310" s="165">
        <f>A305+1</f>
        <v>268</v>
      </c>
      <c r="B310" s="24" t="s">
        <v>478</v>
      </c>
      <c r="C310" s="148">
        <v>1973</v>
      </c>
      <c r="D310" s="180"/>
      <c r="E310" s="49">
        <v>4024.7</v>
      </c>
      <c r="F310" s="49">
        <v>2926</v>
      </c>
      <c r="G310" s="46">
        <f>H310+J310+K310+M310+O310+Q310+S310</f>
        <v>2393643.56</v>
      </c>
      <c r="H310" s="35">
        <v>2393643.56</v>
      </c>
      <c r="I310" s="35">
        <f>H310/F310</f>
        <v>818.06000000000006</v>
      </c>
      <c r="J310" s="35">
        <v>0</v>
      </c>
      <c r="K310" s="35">
        <v>0</v>
      </c>
      <c r="L310" s="35">
        <f>K310/F310</f>
        <v>0</v>
      </c>
      <c r="M310" s="35">
        <v>0</v>
      </c>
      <c r="N310" s="35"/>
      <c r="O310" s="35">
        <v>0</v>
      </c>
      <c r="P310" s="35"/>
      <c r="Q310" s="35">
        <v>0</v>
      </c>
      <c r="R310" s="35"/>
      <c r="S310" s="35">
        <v>0</v>
      </c>
      <c r="T310" s="35">
        <v>0</v>
      </c>
      <c r="U310" s="35">
        <v>0</v>
      </c>
      <c r="V310" s="35">
        <v>0</v>
      </c>
      <c r="W310" s="46">
        <v>2393643.56</v>
      </c>
      <c r="X310" s="165">
        <v>2016</v>
      </c>
      <c r="Y310" s="165">
        <v>2016</v>
      </c>
      <c r="Z310" s="176">
        <f>Z305+1</f>
        <v>178</v>
      </c>
    </row>
    <row r="311" spans="1:26" s="122" customFormat="1" ht="18" customHeight="1">
      <c r="A311" s="165">
        <f>A310+1</f>
        <v>269</v>
      </c>
      <c r="B311" s="24" t="s">
        <v>210</v>
      </c>
      <c r="C311" s="148">
        <v>1968</v>
      </c>
      <c r="D311" s="51"/>
      <c r="E311" s="49">
        <v>4323.8999999999996</v>
      </c>
      <c r="F311" s="49">
        <v>3477.8</v>
      </c>
      <c r="G311" s="46">
        <f>H311+J311+K311+M311+O311+Q311+S311</f>
        <v>8627500</v>
      </c>
      <c r="H311" s="35">
        <v>3880744.91</v>
      </c>
      <c r="I311" s="35">
        <f>H311/F311</f>
        <v>1115.8620133417678</v>
      </c>
      <c r="J311" s="35">
        <v>0</v>
      </c>
      <c r="K311" s="35">
        <v>4746755.09</v>
      </c>
      <c r="L311" s="35">
        <f>K311/F311</f>
        <v>1364.8729340387599</v>
      </c>
      <c r="M311" s="35">
        <v>0</v>
      </c>
      <c r="N311" s="35"/>
      <c r="O311" s="35">
        <v>0</v>
      </c>
      <c r="P311" s="35"/>
      <c r="Q311" s="35">
        <v>0</v>
      </c>
      <c r="R311" s="35"/>
      <c r="S311" s="35">
        <v>0</v>
      </c>
      <c r="T311" s="35">
        <v>0</v>
      </c>
      <c r="U311" s="35">
        <v>0</v>
      </c>
      <c r="V311" s="35">
        <v>0</v>
      </c>
      <c r="W311" s="46">
        <f>G311</f>
        <v>8627500</v>
      </c>
      <c r="X311" s="165">
        <v>2015</v>
      </c>
      <c r="Y311" s="165">
        <v>2016</v>
      </c>
      <c r="Z311" s="176">
        <f>Z310+1</f>
        <v>179</v>
      </c>
    </row>
    <row r="312" spans="1:26" s="122" customFormat="1" ht="18" customHeight="1">
      <c r="A312" s="165">
        <f t="shared" ref="A312:A325" si="39">A311+1</f>
        <v>270</v>
      </c>
      <c r="B312" s="24" t="s">
        <v>211</v>
      </c>
      <c r="C312" s="148">
        <v>1969</v>
      </c>
      <c r="D312" s="51"/>
      <c r="E312" s="49">
        <v>4222.2</v>
      </c>
      <c r="F312" s="49">
        <v>3306.9</v>
      </c>
      <c r="G312" s="46">
        <f>H312+J312+K312+M312+O312+Q312+S312</f>
        <v>4250820</v>
      </c>
      <c r="H312" s="35">
        <v>0</v>
      </c>
      <c r="I312" s="35">
        <f>H312/F312</f>
        <v>0</v>
      </c>
      <c r="J312" s="35">
        <v>0</v>
      </c>
      <c r="K312" s="35">
        <v>4250820</v>
      </c>
      <c r="L312" s="35">
        <f>K312/F312</f>
        <v>1285.4395355166471</v>
      </c>
      <c r="M312" s="35">
        <v>0</v>
      </c>
      <c r="N312" s="35"/>
      <c r="O312" s="35">
        <v>0</v>
      </c>
      <c r="P312" s="35"/>
      <c r="Q312" s="35">
        <v>0</v>
      </c>
      <c r="R312" s="35"/>
      <c r="S312" s="35">
        <v>0</v>
      </c>
      <c r="T312" s="35">
        <v>0</v>
      </c>
      <c r="U312" s="35">
        <v>0</v>
      </c>
      <c r="V312" s="35">
        <v>0</v>
      </c>
      <c r="W312" s="46">
        <f>G312</f>
        <v>4250820</v>
      </c>
      <c r="X312" s="165">
        <v>2015</v>
      </c>
      <c r="Y312" s="165">
        <v>2016</v>
      </c>
      <c r="Z312" s="176">
        <f t="shared" ref="Z312:Z325" si="40">Z311+1</f>
        <v>180</v>
      </c>
    </row>
    <row r="313" spans="1:26" s="122" customFormat="1" ht="18" customHeight="1">
      <c r="A313" s="165">
        <f t="shared" si="39"/>
        <v>271</v>
      </c>
      <c r="B313" s="24" t="s">
        <v>480</v>
      </c>
      <c r="C313" s="148">
        <v>1969</v>
      </c>
      <c r="D313" s="180"/>
      <c r="E313" s="49">
        <v>2317.8000000000002</v>
      </c>
      <c r="F313" s="49">
        <v>1786</v>
      </c>
      <c r="G313" s="46">
        <f>H313+J313+K313+M313+O313+Q313+S313</f>
        <v>269686</v>
      </c>
      <c r="H313" s="35">
        <v>269686</v>
      </c>
      <c r="I313" s="35">
        <f>H313/F313</f>
        <v>151</v>
      </c>
      <c r="J313" s="35">
        <v>0</v>
      </c>
      <c r="K313" s="35">
        <v>0</v>
      </c>
      <c r="L313" s="35">
        <f>K313/F313</f>
        <v>0</v>
      </c>
      <c r="M313" s="35">
        <v>0</v>
      </c>
      <c r="N313" s="35"/>
      <c r="O313" s="35">
        <v>0</v>
      </c>
      <c r="P313" s="35"/>
      <c r="Q313" s="35">
        <v>0</v>
      </c>
      <c r="R313" s="35"/>
      <c r="S313" s="35">
        <v>0</v>
      </c>
      <c r="T313" s="35">
        <v>0</v>
      </c>
      <c r="U313" s="35">
        <v>0</v>
      </c>
      <c r="V313" s="35">
        <v>0</v>
      </c>
      <c r="W313" s="46">
        <v>269686</v>
      </c>
      <c r="X313" s="165">
        <v>2016</v>
      </c>
      <c r="Y313" s="165">
        <v>2016</v>
      </c>
      <c r="Z313" s="176">
        <f t="shared" si="40"/>
        <v>181</v>
      </c>
    </row>
    <row r="314" spans="1:26" s="122" customFormat="1" ht="18" customHeight="1">
      <c r="A314" s="165">
        <f t="shared" si="39"/>
        <v>272</v>
      </c>
      <c r="B314" s="24" t="s">
        <v>481</v>
      </c>
      <c r="C314" s="148">
        <v>1974</v>
      </c>
      <c r="D314" s="180"/>
      <c r="E314" s="46">
        <v>5828.21</v>
      </c>
      <c r="F314" s="49">
        <v>4321.3999999999996</v>
      </c>
      <c r="G314" s="46">
        <f>H314+J314+K314+M314+O314+Q314+S314</f>
        <v>628417.99</v>
      </c>
      <c r="H314" s="35">
        <v>628417.99</v>
      </c>
      <c r="I314" s="35">
        <f>H314/F314</f>
        <v>145.42000046281299</v>
      </c>
      <c r="J314" s="35">
        <v>0</v>
      </c>
      <c r="K314" s="35">
        <v>0</v>
      </c>
      <c r="L314" s="35">
        <f>K314/F314</f>
        <v>0</v>
      </c>
      <c r="M314" s="35">
        <v>0</v>
      </c>
      <c r="N314" s="35"/>
      <c r="O314" s="35">
        <v>0</v>
      </c>
      <c r="P314" s="35"/>
      <c r="Q314" s="35">
        <v>0</v>
      </c>
      <c r="R314" s="35"/>
      <c r="S314" s="35">
        <v>0</v>
      </c>
      <c r="T314" s="35">
        <v>0</v>
      </c>
      <c r="U314" s="35">
        <v>0</v>
      </c>
      <c r="V314" s="35">
        <v>0</v>
      </c>
      <c r="W314" s="46">
        <v>628417.99</v>
      </c>
      <c r="X314" s="165">
        <v>2016</v>
      </c>
      <c r="Y314" s="165">
        <v>2016</v>
      </c>
      <c r="Z314" s="176">
        <f t="shared" si="40"/>
        <v>182</v>
      </c>
    </row>
    <row r="315" spans="1:26" s="122" customFormat="1" ht="18" customHeight="1">
      <c r="A315" s="165">
        <f>A314+1</f>
        <v>273</v>
      </c>
      <c r="B315" s="24" t="s">
        <v>482</v>
      </c>
      <c r="C315" s="148">
        <v>1998</v>
      </c>
      <c r="D315" s="165"/>
      <c r="E315" s="49">
        <v>5801.3</v>
      </c>
      <c r="F315" s="49">
        <v>4434</v>
      </c>
      <c r="G315" s="46">
        <f>H315+J315+K315+M315+O315+Q315+S315</f>
        <v>478827.66</v>
      </c>
      <c r="H315" s="35">
        <v>478827.66</v>
      </c>
      <c r="I315" s="35">
        <f>H315/F315</f>
        <v>107.99</v>
      </c>
      <c r="J315" s="35">
        <v>0</v>
      </c>
      <c r="K315" s="35">
        <v>0</v>
      </c>
      <c r="L315" s="35">
        <f>K315/F315</f>
        <v>0</v>
      </c>
      <c r="M315" s="35">
        <v>0</v>
      </c>
      <c r="N315" s="35"/>
      <c r="O315" s="35">
        <v>0</v>
      </c>
      <c r="P315" s="35"/>
      <c r="Q315" s="35">
        <v>0</v>
      </c>
      <c r="R315" s="35"/>
      <c r="S315" s="35">
        <v>0</v>
      </c>
      <c r="T315" s="35">
        <v>0</v>
      </c>
      <c r="U315" s="35">
        <v>0</v>
      </c>
      <c r="V315" s="35">
        <v>0</v>
      </c>
      <c r="W315" s="46">
        <v>478827.66</v>
      </c>
      <c r="X315" s="165">
        <v>2016</v>
      </c>
      <c r="Y315" s="165">
        <v>2016</v>
      </c>
      <c r="Z315" s="176">
        <f t="shared" si="40"/>
        <v>183</v>
      </c>
    </row>
    <row r="316" spans="1:26" s="122" customFormat="1" ht="18" customHeight="1">
      <c r="A316" s="165">
        <f t="shared" si="39"/>
        <v>274</v>
      </c>
      <c r="B316" s="24" t="s">
        <v>479</v>
      </c>
      <c r="C316" s="148">
        <v>1983</v>
      </c>
      <c r="D316" s="165"/>
      <c r="E316" s="49">
        <v>5859.3</v>
      </c>
      <c r="F316" s="49">
        <v>4397.1000000000004</v>
      </c>
      <c r="G316" s="46">
        <f>H316+J316+K316+M316+O316+Q316+S316</f>
        <v>4083410.89</v>
      </c>
      <c r="H316" s="35">
        <v>0</v>
      </c>
      <c r="I316" s="35">
        <f>H316/F316</f>
        <v>0</v>
      </c>
      <c r="J316" s="35">
        <v>0</v>
      </c>
      <c r="K316" s="35">
        <v>4083410.89</v>
      </c>
      <c r="L316" s="35">
        <f>K316/F316</f>
        <v>928.66000090969044</v>
      </c>
      <c r="M316" s="35">
        <v>0</v>
      </c>
      <c r="N316" s="35"/>
      <c r="O316" s="35">
        <v>0</v>
      </c>
      <c r="P316" s="35"/>
      <c r="Q316" s="35">
        <v>0</v>
      </c>
      <c r="R316" s="35"/>
      <c r="S316" s="35">
        <v>0</v>
      </c>
      <c r="T316" s="35">
        <v>0</v>
      </c>
      <c r="U316" s="35">
        <v>0</v>
      </c>
      <c r="V316" s="35">
        <v>0</v>
      </c>
      <c r="W316" s="46">
        <v>4083410.89</v>
      </c>
      <c r="X316" s="165">
        <v>2016</v>
      </c>
      <c r="Y316" s="165">
        <v>2016</v>
      </c>
      <c r="Z316" s="176">
        <f t="shared" si="40"/>
        <v>184</v>
      </c>
    </row>
    <row r="317" spans="1:26" s="122" customFormat="1" ht="18" customHeight="1">
      <c r="A317" s="165">
        <f t="shared" si="39"/>
        <v>275</v>
      </c>
      <c r="B317" s="24" t="s">
        <v>483</v>
      </c>
      <c r="C317" s="148">
        <v>1954</v>
      </c>
      <c r="D317" s="165"/>
      <c r="E317" s="49">
        <v>563.29999999999995</v>
      </c>
      <c r="F317" s="49">
        <v>517.70000000000005</v>
      </c>
      <c r="G317" s="46">
        <f>H317+J317+K317+M317+O317+Q317+S317</f>
        <v>2060839.4520000003</v>
      </c>
      <c r="H317" s="35">
        <v>0</v>
      </c>
      <c r="I317" s="35">
        <f>H317/F317</f>
        <v>0</v>
      </c>
      <c r="J317" s="35">
        <v>0</v>
      </c>
      <c r="K317" s="46">
        <f>F317*3980.76</f>
        <v>2060839.4520000003</v>
      </c>
      <c r="L317" s="35">
        <f>K317/F317</f>
        <v>3980.76</v>
      </c>
      <c r="M317" s="35">
        <v>0</v>
      </c>
      <c r="N317" s="35"/>
      <c r="O317" s="35">
        <v>0</v>
      </c>
      <c r="P317" s="35"/>
      <c r="Q317" s="35">
        <v>0</v>
      </c>
      <c r="R317" s="35"/>
      <c r="S317" s="35">
        <v>0</v>
      </c>
      <c r="T317" s="35">
        <v>0</v>
      </c>
      <c r="U317" s="35">
        <v>0</v>
      </c>
      <c r="V317" s="35">
        <v>0</v>
      </c>
      <c r="W317" s="46">
        <v>825840.22</v>
      </c>
      <c r="X317" s="165">
        <v>2016</v>
      </c>
      <c r="Y317" s="165">
        <v>2016</v>
      </c>
      <c r="Z317" s="176">
        <f t="shared" si="40"/>
        <v>185</v>
      </c>
    </row>
    <row r="318" spans="1:26" s="122" customFormat="1" ht="18" customHeight="1">
      <c r="A318" s="165">
        <f t="shared" si="39"/>
        <v>276</v>
      </c>
      <c r="B318" s="24" t="s">
        <v>461</v>
      </c>
      <c r="C318" s="148">
        <v>1955</v>
      </c>
      <c r="D318" s="51"/>
      <c r="E318" s="49">
        <v>555.70000000000005</v>
      </c>
      <c r="F318" s="49">
        <v>513.9</v>
      </c>
      <c r="G318" s="46">
        <f>H318+J318+K318+M318+O318+Q318+S318</f>
        <v>536935</v>
      </c>
      <c r="H318" s="35">
        <f>536935+497999.93-497999.93</f>
        <v>536935</v>
      </c>
      <c r="I318" s="35">
        <f>H318/F318</f>
        <v>1044.8238956995524</v>
      </c>
      <c r="J318" s="35">
        <v>0</v>
      </c>
      <c r="K318" s="35">
        <v>0</v>
      </c>
      <c r="L318" s="35">
        <f>K318/F318</f>
        <v>0</v>
      </c>
      <c r="M318" s="35">
        <v>0</v>
      </c>
      <c r="N318" s="35"/>
      <c r="O318" s="35">
        <v>0</v>
      </c>
      <c r="P318" s="35"/>
      <c r="Q318" s="35">
        <v>0</v>
      </c>
      <c r="R318" s="35"/>
      <c r="S318" s="35">
        <v>0</v>
      </c>
      <c r="T318" s="35">
        <v>0</v>
      </c>
      <c r="U318" s="35">
        <v>0</v>
      </c>
      <c r="V318" s="35">
        <v>0</v>
      </c>
      <c r="W318" s="46">
        <f>G318</f>
        <v>536935</v>
      </c>
      <c r="X318" s="165">
        <v>2015</v>
      </c>
      <c r="Y318" s="165">
        <v>2016</v>
      </c>
      <c r="Z318" s="176">
        <f t="shared" si="40"/>
        <v>186</v>
      </c>
    </row>
    <row r="319" spans="1:26" s="122" customFormat="1" ht="18" customHeight="1">
      <c r="A319" s="165">
        <f t="shared" si="39"/>
        <v>277</v>
      </c>
      <c r="B319" s="24" t="s">
        <v>462</v>
      </c>
      <c r="C319" s="148">
        <v>1954</v>
      </c>
      <c r="D319" s="51"/>
      <c r="E319" s="49">
        <v>994.2</v>
      </c>
      <c r="F319" s="49">
        <v>870.8</v>
      </c>
      <c r="G319" s="46">
        <f>H319+J319+K319+M319+O319+Q319+S319</f>
        <v>810985</v>
      </c>
      <c r="H319" s="35">
        <f>810985+992285.31-992285.31</f>
        <v>810985</v>
      </c>
      <c r="I319" s="35">
        <f>H319/F319</f>
        <v>931.31028938906752</v>
      </c>
      <c r="J319" s="35">
        <v>0</v>
      </c>
      <c r="K319" s="35">
        <v>0</v>
      </c>
      <c r="L319" s="35">
        <f>K319/F319</f>
        <v>0</v>
      </c>
      <c r="M319" s="35">
        <v>0</v>
      </c>
      <c r="N319" s="35"/>
      <c r="O319" s="35">
        <v>0</v>
      </c>
      <c r="P319" s="35"/>
      <c r="Q319" s="35">
        <v>0</v>
      </c>
      <c r="R319" s="35"/>
      <c r="S319" s="35">
        <v>0</v>
      </c>
      <c r="T319" s="35">
        <v>0</v>
      </c>
      <c r="U319" s="35">
        <v>0</v>
      </c>
      <c r="V319" s="35">
        <v>0</v>
      </c>
      <c r="W319" s="46">
        <f>G319</f>
        <v>810985</v>
      </c>
      <c r="X319" s="165">
        <v>2015</v>
      </c>
      <c r="Y319" s="165">
        <v>2016</v>
      </c>
      <c r="Z319" s="176">
        <f t="shared" si="40"/>
        <v>187</v>
      </c>
    </row>
    <row r="320" spans="1:26" s="122" customFormat="1" ht="18" customHeight="1">
      <c r="A320" s="165">
        <f t="shared" si="39"/>
        <v>278</v>
      </c>
      <c r="B320" s="24" t="s">
        <v>477</v>
      </c>
      <c r="C320" s="148">
        <v>1955</v>
      </c>
      <c r="D320" s="165"/>
      <c r="E320" s="49">
        <v>241.3</v>
      </c>
      <c r="F320" s="49">
        <v>218.7</v>
      </c>
      <c r="G320" s="46">
        <f>H320+J320+K320+M320+O320+Q320+S320</f>
        <v>870592.21200000006</v>
      </c>
      <c r="H320" s="35">
        <v>0</v>
      </c>
      <c r="I320" s="35">
        <f>H320/F320</f>
        <v>0</v>
      </c>
      <c r="J320" s="35">
        <v>0</v>
      </c>
      <c r="K320" s="35">
        <f>F320*3980.76</f>
        <v>870592.21200000006</v>
      </c>
      <c r="L320" s="35">
        <f>K320/F320</f>
        <v>3980.7600000000007</v>
      </c>
      <c r="M320" s="35">
        <v>0</v>
      </c>
      <c r="N320" s="35"/>
      <c r="O320" s="35">
        <v>0</v>
      </c>
      <c r="P320" s="35"/>
      <c r="Q320" s="35">
        <v>0</v>
      </c>
      <c r="R320" s="35"/>
      <c r="S320" s="35">
        <v>0</v>
      </c>
      <c r="T320" s="35">
        <v>0</v>
      </c>
      <c r="U320" s="35">
        <v>0</v>
      </c>
      <c r="V320" s="35">
        <v>0</v>
      </c>
      <c r="W320" s="46">
        <v>348872.43</v>
      </c>
      <c r="X320" s="165">
        <v>2016</v>
      </c>
      <c r="Y320" s="165">
        <v>2016</v>
      </c>
      <c r="Z320" s="176">
        <f t="shared" si="40"/>
        <v>188</v>
      </c>
    </row>
    <row r="321" spans="1:26" s="122" customFormat="1" ht="18" customHeight="1">
      <c r="A321" s="165">
        <f t="shared" si="39"/>
        <v>279</v>
      </c>
      <c r="B321" s="24" t="s">
        <v>463</v>
      </c>
      <c r="C321" s="148">
        <v>1955</v>
      </c>
      <c r="D321" s="51"/>
      <c r="E321" s="49">
        <v>234.1</v>
      </c>
      <c r="F321" s="49">
        <v>212.3</v>
      </c>
      <c r="G321" s="46">
        <f>H321+J321+K321+M321+O321+Q321+S321</f>
        <v>233044</v>
      </c>
      <c r="H321" s="35">
        <f>233044+274089.92-274089.92</f>
        <v>233044</v>
      </c>
      <c r="I321" s="35">
        <f>H321/F321</f>
        <v>1097.7107866227036</v>
      </c>
      <c r="J321" s="35">
        <v>0</v>
      </c>
      <c r="K321" s="35">
        <v>0</v>
      </c>
      <c r="L321" s="35">
        <f>K321/F321</f>
        <v>0</v>
      </c>
      <c r="M321" s="35">
        <v>0</v>
      </c>
      <c r="N321" s="35"/>
      <c r="O321" s="35">
        <v>0</v>
      </c>
      <c r="P321" s="35"/>
      <c r="Q321" s="35">
        <v>0</v>
      </c>
      <c r="R321" s="35"/>
      <c r="S321" s="35">
        <v>0</v>
      </c>
      <c r="T321" s="35">
        <v>0</v>
      </c>
      <c r="U321" s="35">
        <v>0</v>
      </c>
      <c r="V321" s="35">
        <v>0</v>
      </c>
      <c r="W321" s="46">
        <f>G321</f>
        <v>233044</v>
      </c>
      <c r="X321" s="165">
        <v>2015</v>
      </c>
      <c r="Y321" s="165">
        <v>2016</v>
      </c>
      <c r="Z321" s="176">
        <f t="shared" si="40"/>
        <v>189</v>
      </c>
    </row>
    <row r="322" spans="1:26" s="122" customFormat="1" ht="18" customHeight="1">
      <c r="A322" s="165">
        <f t="shared" si="39"/>
        <v>280</v>
      </c>
      <c r="B322" s="24" t="s">
        <v>485</v>
      </c>
      <c r="C322" s="148">
        <v>1984</v>
      </c>
      <c r="D322" s="165"/>
      <c r="E322" s="49">
        <v>793.4</v>
      </c>
      <c r="F322" s="49">
        <v>726</v>
      </c>
      <c r="G322" s="46">
        <f>H322+J322+K322+M322+O322+Q322+S322</f>
        <v>299533.08</v>
      </c>
      <c r="H322" s="35">
        <v>299533.08</v>
      </c>
      <c r="I322" s="35">
        <f>H322/F322</f>
        <v>412.58000000000004</v>
      </c>
      <c r="J322" s="35">
        <v>0</v>
      </c>
      <c r="K322" s="35">
        <v>0</v>
      </c>
      <c r="L322" s="35">
        <f>K322/F322</f>
        <v>0</v>
      </c>
      <c r="M322" s="35">
        <v>0</v>
      </c>
      <c r="N322" s="35"/>
      <c r="O322" s="35">
        <v>0</v>
      </c>
      <c r="P322" s="35"/>
      <c r="Q322" s="35">
        <v>0</v>
      </c>
      <c r="R322" s="35"/>
      <c r="S322" s="35">
        <v>0</v>
      </c>
      <c r="T322" s="35">
        <v>0</v>
      </c>
      <c r="U322" s="35">
        <v>0</v>
      </c>
      <c r="V322" s="35">
        <v>0</v>
      </c>
      <c r="W322" s="46">
        <v>299533.08</v>
      </c>
      <c r="X322" s="165">
        <v>2016</v>
      </c>
      <c r="Y322" s="165">
        <v>2016</v>
      </c>
      <c r="Z322" s="176">
        <f t="shared" si="40"/>
        <v>190</v>
      </c>
    </row>
    <row r="323" spans="1:26" s="122" customFormat="1" ht="18" customHeight="1">
      <c r="A323" s="165">
        <f t="shared" si="39"/>
        <v>281</v>
      </c>
      <c r="B323" s="24" t="s">
        <v>484</v>
      </c>
      <c r="C323" s="148">
        <v>1977</v>
      </c>
      <c r="D323" s="165"/>
      <c r="E323" s="49">
        <v>449.3</v>
      </c>
      <c r="F323" s="49">
        <v>412.2</v>
      </c>
      <c r="G323" s="46">
        <f>H323+J323+K323+M323+O323+Q323+S323</f>
        <v>1468367.69</v>
      </c>
      <c r="H323" s="35">
        <v>0</v>
      </c>
      <c r="I323" s="35">
        <f>H323/F323</f>
        <v>0</v>
      </c>
      <c r="J323" s="35">
        <v>0</v>
      </c>
      <c r="K323" s="35">
        <v>1468367.69</v>
      </c>
      <c r="L323" s="35">
        <f>K323/F323</f>
        <v>3562.269990295973</v>
      </c>
      <c r="M323" s="35">
        <v>0</v>
      </c>
      <c r="N323" s="35"/>
      <c r="O323" s="35">
        <v>0</v>
      </c>
      <c r="P323" s="35"/>
      <c r="Q323" s="35">
        <v>0</v>
      </c>
      <c r="R323" s="35"/>
      <c r="S323" s="35">
        <v>0</v>
      </c>
      <c r="T323" s="35">
        <v>0</v>
      </c>
      <c r="U323" s="35">
        <v>0</v>
      </c>
      <c r="V323" s="35">
        <v>0</v>
      </c>
      <c r="W323" s="46">
        <v>1468367.69</v>
      </c>
      <c r="X323" s="165">
        <v>2016</v>
      </c>
      <c r="Y323" s="165">
        <v>2016</v>
      </c>
      <c r="Z323" s="176">
        <f t="shared" si="40"/>
        <v>191</v>
      </c>
    </row>
    <row r="324" spans="1:26" s="122" customFormat="1" ht="18" customHeight="1">
      <c r="A324" s="165">
        <f t="shared" si="39"/>
        <v>282</v>
      </c>
      <c r="B324" s="24" t="s">
        <v>487</v>
      </c>
      <c r="C324" s="148">
        <v>1989</v>
      </c>
      <c r="D324" s="165"/>
      <c r="E324" s="49">
        <v>854.8</v>
      </c>
      <c r="F324" s="49">
        <v>761.5</v>
      </c>
      <c r="G324" s="46">
        <f>H324+J324+K324+M324+O324+Q324+S324</f>
        <v>2712668.61</v>
      </c>
      <c r="H324" s="35">
        <v>0</v>
      </c>
      <c r="I324" s="35"/>
      <c r="J324" s="35">
        <v>0</v>
      </c>
      <c r="K324" s="35">
        <v>2712668.61</v>
      </c>
      <c r="L324" s="35">
        <f>K324/F324</f>
        <v>3562.2700065659878</v>
      </c>
      <c r="M324" s="35">
        <v>0</v>
      </c>
      <c r="N324" s="35"/>
      <c r="O324" s="35">
        <v>0</v>
      </c>
      <c r="P324" s="35"/>
      <c r="Q324" s="35">
        <v>0</v>
      </c>
      <c r="R324" s="35"/>
      <c r="S324" s="35">
        <v>0</v>
      </c>
      <c r="T324" s="35">
        <v>0</v>
      </c>
      <c r="U324" s="35">
        <v>0</v>
      </c>
      <c r="V324" s="35">
        <v>0</v>
      </c>
      <c r="W324" s="46">
        <v>2712668.61</v>
      </c>
      <c r="X324" s="165">
        <v>2016</v>
      </c>
      <c r="Y324" s="165">
        <v>2016</v>
      </c>
      <c r="Z324" s="176">
        <f t="shared" si="40"/>
        <v>192</v>
      </c>
    </row>
    <row r="325" spans="1:26" s="122" customFormat="1" ht="18" customHeight="1">
      <c r="A325" s="165">
        <f t="shared" si="39"/>
        <v>283</v>
      </c>
      <c r="B325" s="24" t="s">
        <v>486</v>
      </c>
      <c r="C325" s="148">
        <v>1991</v>
      </c>
      <c r="D325" s="165"/>
      <c r="E325" s="49">
        <v>608.70000000000005</v>
      </c>
      <c r="F325" s="49">
        <v>550.70000000000005</v>
      </c>
      <c r="G325" s="46">
        <f>H325+J325+K325+M325+O325+Q325+S325</f>
        <v>227207.81</v>
      </c>
      <c r="H325" s="35">
        <v>227207.81</v>
      </c>
      <c r="I325" s="35">
        <f>H325/F325</f>
        <v>412.5800072634828</v>
      </c>
      <c r="J325" s="35">
        <v>0</v>
      </c>
      <c r="K325" s="35">
        <v>0</v>
      </c>
      <c r="L325" s="35">
        <f>K325/F325</f>
        <v>0</v>
      </c>
      <c r="M325" s="35">
        <v>0</v>
      </c>
      <c r="N325" s="35"/>
      <c r="O325" s="35">
        <v>0</v>
      </c>
      <c r="P325" s="35"/>
      <c r="Q325" s="35">
        <v>0</v>
      </c>
      <c r="R325" s="35"/>
      <c r="S325" s="35">
        <v>0</v>
      </c>
      <c r="T325" s="35">
        <v>0</v>
      </c>
      <c r="U325" s="35">
        <v>0</v>
      </c>
      <c r="V325" s="35">
        <v>0</v>
      </c>
      <c r="W325" s="46">
        <v>227207.81</v>
      </c>
      <c r="X325" s="165">
        <v>2016</v>
      </c>
      <c r="Y325" s="165">
        <v>2016</v>
      </c>
      <c r="Z325" s="176">
        <f t="shared" si="40"/>
        <v>193</v>
      </c>
    </row>
    <row r="326" spans="1:26" s="120" customFormat="1" ht="19.5" customHeight="1">
      <c r="A326" s="185" t="s">
        <v>208</v>
      </c>
      <c r="B326" s="185"/>
      <c r="C326" s="148"/>
      <c r="D326" s="165"/>
      <c r="E326" s="28">
        <v>0</v>
      </c>
      <c r="F326" s="28">
        <v>0</v>
      </c>
      <c r="G326" s="19">
        <v>0</v>
      </c>
      <c r="H326" s="28">
        <v>0</v>
      </c>
      <c r="I326" s="28"/>
      <c r="J326" s="28">
        <v>0</v>
      </c>
      <c r="K326" s="28">
        <v>0</v>
      </c>
      <c r="L326" s="28">
        <v>0</v>
      </c>
      <c r="M326" s="28">
        <v>0</v>
      </c>
      <c r="N326" s="28"/>
      <c r="O326" s="28">
        <v>0</v>
      </c>
      <c r="P326" s="28"/>
      <c r="Q326" s="28">
        <v>0</v>
      </c>
      <c r="R326" s="28"/>
      <c r="S326" s="28">
        <v>0</v>
      </c>
      <c r="T326" s="28">
        <v>0</v>
      </c>
      <c r="U326" s="28">
        <v>0</v>
      </c>
      <c r="V326" s="28">
        <v>0</v>
      </c>
      <c r="W326" s="19">
        <v>0</v>
      </c>
      <c r="X326" s="20" t="s">
        <v>447</v>
      </c>
      <c r="Y326" s="20" t="s">
        <v>447</v>
      </c>
      <c r="Z326" s="178"/>
    </row>
    <row r="327" spans="1:26" s="120" customFormat="1" ht="19.5" customHeight="1">
      <c r="A327" s="185" t="s">
        <v>206</v>
      </c>
      <c r="B327" s="185"/>
      <c r="C327" s="148"/>
      <c r="D327" s="165"/>
      <c r="E327" s="28">
        <v>0</v>
      </c>
      <c r="F327" s="28">
        <v>0</v>
      </c>
      <c r="G327" s="19">
        <v>0</v>
      </c>
      <c r="H327" s="28">
        <v>0</v>
      </c>
      <c r="I327" s="28"/>
      <c r="J327" s="28">
        <v>0</v>
      </c>
      <c r="K327" s="28">
        <v>0</v>
      </c>
      <c r="L327" s="28">
        <v>0</v>
      </c>
      <c r="M327" s="28">
        <v>0</v>
      </c>
      <c r="N327" s="28"/>
      <c r="O327" s="28">
        <v>0</v>
      </c>
      <c r="P327" s="28"/>
      <c r="Q327" s="28">
        <v>0</v>
      </c>
      <c r="R327" s="28"/>
      <c r="S327" s="28">
        <v>0</v>
      </c>
      <c r="T327" s="28">
        <v>0</v>
      </c>
      <c r="U327" s="28">
        <v>0</v>
      </c>
      <c r="V327" s="28">
        <v>0</v>
      </c>
      <c r="W327" s="19">
        <v>0</v>
      </c>
      <c r="X327" s="20" t="s">
        <v>447</v>
      </c>
      <c r="Y327" s="20" t="s">
        <v>447</v>
      </c>
      <c r="Z327" s="179"/>
    </row>
    <row r="328" spans="1:26" s="120" customFormat="1" ht="19.5" customHeight="1">
      <c r="A328" s="185" t="s">
        <v>207</v>
      </c>
      <c r="B328" s="185"/>
      <c r="C328" s="148"/>
      <c r="D328" s="165"/>
      <c r="E328" s="28">
        <f>SUM(E310:E325)</f>
        <v>37672.21</v>
      </c>
      <c r="F328" s="28">
        <f t="shared" ref="F328:W328" si="41">SUM(F310:F325)</f>
        <v>29433</v>
      </c>
      <c r="G328" s="28">
        <f t="shared" si="41"/>
        <v>29952478.954</v>
      </c>
      <c r="H328" s="28">
        <f t="shared" si="41"/>
        <v>9759025.0100000016</v>
      </c>
      <c r="I328" s="28">
        <f t="shared" si="41"/>
        <v>6237.3369927793865</v>
      </c>
      <c r="J328" s="28">
        <f t="shared" si="41"/>
        <v>0</v>
      </c>
      <c r="K328" s="28">
        <f t="shared" si="41"/>
        <v>20193453.943999998</v>
      </c>
      <c r="L328" s="28">
        <f t="shared" si="41"/>
        <v>18665.032467327059</v>
      </c>
      <c r="M328" s="28">
        <f t="shared" si="41"/>
        <v>0</v>
      </c>
      <c r="N328" s="28">
        <f t="shared" si="41"/>
        <v>0</v>
      </c>
      <c r="O328" s="28">
        <f t="shared" si="41"/>
        <v>0</v>
      </c>
      <c r="P328" s="28">
        <f t="shared" si="41"/>
        <v>0</v>
      </c>
      <c r="Q328" s="28">
        <f t="shared" si="41"/>
        <v>0</v>
      </c>
      <c r="R328" s="28">
        <f t="shared" si="41"/>
        <v>0</v>
      </c>
      <c r="S328" s="28">
        <f t="shared" si="41"/>
        <v>0</v>
      </c>
      <c r="T328" s="28">
        <f t="shared" si="41"/>
        <v>0</v>
      </c>
      <c r="U328" s="28">
        <f t="shared" si="41"/>
        <v>0</v>
      </c>
      <c r="V328" s="28">
        <f t="shared" si="41"/>
        <v>0</v>
      </c>
      <c r="W328" s="28">
        <f t="shared" si="41"/>
        <v>28195759.939999998</v>
      </c>
      <c r="X328" s="20" t="s">
        <v>447</v>
      </c>
      <c r="Y328" s="20" t="s">
        <v>447</v>
      </c>
      <c r="Z328" s="179"/>
    </row>
    <row r="329" spans="1:26" s="120" customFormat="1" ht="18" customHeight="1">
      <c r="A329" s="187" t="s">
        <v>114</v>
      </c>
      <c r="B329" s="187"/>
      <c r="C329" s="187"/>
      <c r="D329" s="187"/>
      <c r="E329" s="187"/>
      <c r="F329" s="187"/>
      <c r="G329" s="187"/>
      <c r="H329" s="187"/>
      <c r="I329" s="187"/>
      <c r="J329" s="187"/>
      <c r="K329" s="187"/>
      <c r="L329" s="187"/>
      <c r="M329" s="187"/>
      <c r="N329" s="187"/>
      <c r="O329" s="187"/>
      <c r="P329" s="187"/>
      <c r="Q329" s="187"/>
      <c r="R329" s="187"/>
      <c r="S329" s="187"/>
      <c r="T329" s="187"/>
      <c r="U329" s="187"/>
      <c r="V329" s="187"/>
      <c r="W329" s="187"/>
      <c r="X329" s="123"/>
      <c r="Y329" s="123"/>
      <c r="Z329" s="178"/>
    </row>
    <row r="330" spans="1:26" s="122" customFormat="1" ht="18" customHeight="1">
      <c r="A330" s="165">
        <f>A325+1</f>
        <v>284</v>
      </c>
      <c r="B330" s="24" t="s">
        <v>83</v>
      </c>
      <c r="C330" s="148">
        <v>1985</v>
      </c>
      <c r="D330" s="165"/>
      <c r="E330" s="45">
        <v>5813.2</v>
      </c>
      <c r="F330" s="49">
        <v>5223.2</v>
      </c>
      <c r="G330" s="46">
        <f>SUM(H330:S330)</f>
        <v>400000</v>
      </c>
      <c r="H330" s="23">
        <v>400000</v>
      </c>
      <c r="I330" s="35"/>
      <c r="J330" s="35">
        <v>0</v>
      </c>
      <c r="K330" s="35">
        <v>0</v>
      </c>
      <c r="L330" s="35"/>
      <c r="M330" s="35">
        <v>0</v>
      </c>
      <c r="N330" s="35"/>
      <c r="O330" s="35">
        <v>0</v>
      </c>
      <c r="P330" s="35"/>
      <c r="Q330" s="35">
        <v>0</v>
      </c>
      <c r="R330" s="35"/>
      <c r="S330" s="35">
        <v>0</v>
      </c>
      <c r="T330" s="56">
        <v>178960</v>
      </c>
      <c r="U330" s="35">
        <v>0</v>
      </c>
      <c r="V330" s="56">
        <v>221040</v>
      </c>
      <c r="W330" s="46">
        <v>0</v>
      </c>
      <c r="X330" s="165">
        <v>2014</v>
      </c>
      <c r="Y330" s="165">
        <v>2015</v>
      </c>
      <c r="Z330" s="176"/>
    </row>
    <row r="331" spans="1:26" s="122" customFormat="1" ht="18" customHeight="1">
      <c r="A331" s="165">
        <f>A330+1</f>
        <v>285</v>
      </c>
      <c r="B331" s="24" t="s">
        <v>84</v>
      </c>
      <c r="C331" s="148">
        <v>1985</v>
      </c>
      <c r="D331" s="165"/>
      <c r="E331" s="45">
        <v>6353.3</v>
      </c>
      <c r="F331" s="49">
        <v>5672.6</v>
      </c>
      <c r="G331" s="46">
        <f>SUM(H331:S331)</f>
        <v>400000</v>
      </c>
      <c r="H331" s="23">
        <v>400000</v>
      </c>
      <c r="I331" s="35"/>
      <c r="J331" s="35">
        <v>0</v>
      </c>
      <c r="K331" s="35">
        <v>0</v>
      </c>
      <c r="L331" s="35"/>
      <c r="M331" s="35">
        <v>0</v>
      </c>
      <c r="N331" s="35"/>
      <c r="O331" s="35">
        <v>0</v>
      </c>
      <c r="P331" s="35"/>
      <c r="Q331" s="35">
        <v>0</v>
      </c>
      <c r="R331" s="35"/>
      <c r="S331" s="35">
        <v>0</v>
      </c>
      <c r="T331" s="56">
        <v>178960</v>
      </c>
      <c r="U331" s="35">
        <v>0</v>
      </c>
      <c r="V331" s="56">
        <v>221040</v>
      </c>
      <c r="W331" s="46">
        <v>0</v>
      </c>
      <c r="X331" s="165">
        <v>2014</v>
      </c>
      <c r="Y331" s="165">
        <v>2015</v>
      </c>
      <c r="Z331" s="176"/>
    </row>
    <row r="332" spans="1:26" s="122" customFormat="1" ht="18" customHeight="1">
      <c r="A332" s="165">
        <f t="shared" ref="A332:A380" si="42">A331+1</f>
        <v>286</v>
      </c>
      <c r="B332" s="24" t="s">
        <v>89</v>
      </c>
      <c r="C332" s="148">
        <v>1986</v>
      </c>
      <c r="D332" s="165"/>
      <c r="E332" s="45">
        <v>6453.3</v>
      </c>
      <c r="F332" s="49">
        <v>5933.1</v>
      </c>
      <c r="G332" s="46">
        <f>SUM(H332:S332)</f>
        <v>400000</v>
      </c>
      <c r="H332" s="23">
        <v>400000</v>
      </c>
      <c r="I332" s="35"/>
      <c r="J332" s="35">
        <v>0</v>
      </c>
      <c r="K332" s="35">
        <v>0</v>
      </c>
      <c r="L332" s="35"/>
      <c r="M332" s="35">
        <v>0</v>
      </c>
      <c r="N332" s="35"/>
      <c r="O332" s="35">
        <v>0</v>
      </c>
      <c r="P332" s="35"/>
      <c r="Q332" s="35">
        <v>0</v>
      </c>
      <c r="R332" s="35"/>
      <c r="S332" s="35">
        <v>0</v>
      </c>
      <c r="T332" s="56">
        <v>178960</v>
      </c>
      <c r="U332" s="35">
        <v>0</v>
      </c>
      <c r="V332" s="56">
        <v>221040</v>
      </c>
      <c r="W332" s="46">
        <v>0</v>
      </c>
      <c r="X332" s="165">
        <v>2014</v>
      </c>
      <c r="Y332" s="165">
        <v>2015</v>
      </c>
      <c r="Z332" s="176"/>
    </row>
    <row r="333" spans="1:26" s="122" customFormat="1" ht="18" customHeight="1">
      <c r="A333" s="165">
        <f t="shared" si="42"/>
        <v>287</v>
      </c>
      <c r="B333" s="24" t="s">
        <v>92</v>
      </c>
      <c r="C333" s="148">
        <v>1987</v>
      </c>
      <c r="D333" s="165"/>
      <c r="E333" s="45">
        <v>6060.5</v>
      </c>
      <c r="F333" s="49">
        <v>5500.3</v>
      </c>
      <c r="G333" s="46">
        <f>SUM(H333:S333)</f>
        <v>600000</v>
      </c>
      <c r="H333" s="23">
        <v>600000</v>
      </c>
      <c r="I333" s="35"/>
      <c r="J333" s="35">
        <v>0</v>
      </c>
      <c r="K333" s="35">
        <v>0</v>
      </c>
      <c r="L333" s="35"/>
      <c r="M333" s="35">
        <v>0</v>
      </c>
      <c r="N333" s="35"/>
      <c r="O333" s="35">
        <v>0</v>
      </c>
      <c r="P333" s="35"/>
      <c r="Q333" s="35">
        <v>0</v>
      </c>
      <c r="R333" s="35"/>
      <c r="S333" s="35">
        <v>0</v>
      </c>
      <c r="T333" s="56">
        <v>268440</v>
      </c>
      <c r="U333" s="35">
        <v>0</v>
      </c>
      <c r="V333" s="56">
        <v>331560</v>
      </c>
      <c r="W333" s="46">
        <v>0</v>
      </c>
      <c r="X333" s="165">
        <v>2014</v>
      </c>
      <c r="Y333" s="165">
        <v>2015</v>
      </c>
      <c r="Z333" s="176"/>
    </row>
    <row r="334" spans="1:26" s="122" customFormat="1" ht="18" customHeight="1">
      <c r="A334" s="165">
        <f t="shared" si="42"/>
        <v>288</v>
      </c>
      <c r="B334" s="24" t="s">
        <v>90</v>
      </c>
      <c r="C334" s="148">
        <v>1987</v>
      </c>
      <c r="D334" s="165"/>
      <c r="E334" s="45">
        <v>4786.1000000000004</v>
      </c>
      <c r="F334" s="49">
        <v>4287.8999999999996</v>
      </c>
      <c r="G334" s="46">
        <f>SUM(H334:S334)</f>
        <v>600000</v>
      </c>
      <c r="H334" s="23">
        <v>600000</v>
      </c>
      <c r="I334" s="35"/>
      <c r="J334" s="35">
        <v>0</v>
      </c>
      <c r="K334" s="35">
        <v>0</v>
      </c>
      <c r="L334" s="35"/>
      <c r="M334" s="35">
        <v>0</v>
      </c>
      <c r="N334" s="35"/>
      <c r="O334" s="35">
        <v>0</v>
      </c>
      <c r="P334" s="35"/>
      <c r="Q334" s="35">
        <v>0</v>
      </c>
      <c r="R334" s="35"/>
      <c r="S334" s="35">
        <v>0</v>
      </c>
      <c r="T334" s="56">
        <v>268440</v>
      </c>
      <c r="U334" s="35">
        <v>0</v>
      </c>
      <c r="V334" s="56">
        <v>331560</v>
      </c>
      <c r="W334" s="46">
        <v>0</v>
      </c>
      <c r="X334" s="165">
        <v>2014</v>
      </c>
      <c r="Y334" s="165">
        <v>2015</v>
      </c>
      <c r="Z334" s="176"/>
    </row>
    <row r="335" spans="1:26" s="122" customFormat="1" ht="18" customHeight="1">
      <c r="A335" s="165">
        <f t="shared" si="42"/>
        <v>289</v>
      </c>
      <c r="B335" s="24" t="s">
        <v>91</v>
      </c>
      <c r="C335" s="148">
        <v>1988</v>
      </c>
      <c r="D335" s="165"/>
      <c r="E335" s="45">
        <v>946.8</v>
      </c>
      <c r="F335" s="49">
        <v>853.5</v>
      </c>
      <c r="G335" s="46">
        <f>SUM(H335:S335)</f>
        <v>600000</v>
      </c>
      <c r="H335" s="23">
        <v>600000</v>
      </c>
      <c r="I335" s="35"/>
      <c r="J335" s="35">
        <v>0</v>
      </c>
      <c r="K335" s="35">
        <v>0</v>
      </c>
      <c r="L335" s="35"/>
      <c r="M335" s="35">
        <v>0</v>
      </c>
      <c r="N335" s="35"/>
      <c r="O335" s="35">
        <v>0</v>
      </c>
      <c r="P335" s="35"/>
      <c r="Q335" s="35">
        <v>0</v>
      </c>
      <c r="R335" s="35"/>
      <c r="S335" s="35">
        <v>0</v>
      </c>
      <c r="T335" s="56">
        <v>268440</v>
      </c>
      <c r="U335" s="35">
        <v>0</v>
      </c>
      <c r="V335" s="56">
        <v>331560</v>
      </c>
      <c r="W335" s="46">
        <v>0</v>
      </c>
      <c r="X335" s="165">
        <v>2014</v>
      </c>
      <c r="Y335" s="165">
        <v>2015</v>
      </c>
      <c r="Z335" s="176"/>
    </row>
    <row r="336" spans="1:26" s="122" customFormat="1" ht="18" customHeight="1">
      <c r="A336" s="165">
        <f t="shared" si="42"/>
        <v>290</v>
      </c>
      <c r="B336" s="24" t="s">
        <v>94</v>
      </c>
      <c r="C336" s="148">
        <v>1969</v>
      </c>
      <c r="D336" s="165"/>
      <c r="E336" s="45">
        <v>3298.4</v>
      </c>
      <c r="F336" s="49">
        <v>2808.9</v>
      </c>
      <c r="G336" s="46">
        <f>SUM(H336:S336)</f>
        <v>600000</v>
      </c>
      <c r="H336" s="23">
        <v>600000</v>
      </c>
      <c r="I336" s="35"/>
      <c r="J336" s="35">
        <v>0</v>
      </c>
      <c r="K336" s="35">
        <v>0</v>
      </c>
      <c r="L336" s="35"/>
      <c r="M336" s="35">
        <v>0</v>
      </c>
      <c r="N336" s="35"/>
      <c r="O336" s="35"/>
      <c r="P336" s="35"/>
      <c r="Q336" s="35">
        <v>0</v>
      </c>
      <c r="R336" s="35"/>
      <c r="S336" s="35">
        <v>0</v>
      </c>
      <c r="T336" s="56">
        <v>268440</v>
      </c>
      <c r="U336" s="35">
        <v>0</v>
      </c>
      <c r="V336" s="56">
        <v>331560</v>
      </c>
      <c r="W336" s="46">
        <v>0</v>
      </c>
      <c r="X336" s="165">
        <v>2014</v>
      </c>
      <c r="Y336" s="165">
        <v>2015</v>
      </c>
      <c r="Z336" s="176"/>
    </row>
    <row r="337" spans="1:26" s="122" customFormat="1" ht="18" customHeight="1">
      <c r="A337" s="165">
        <f t="shared" si="42"/>
        <v>291</v>
      </c>
      <c r="B337" s="24" t="s">
        <v>95</v>
      </c>
      <c r="C337" s="148">
        <v>1960</v>
      </c>
      <c r="D337" s="165"/>
      <c r="E337" s="45">
        <v>2049</v>
      </c>
      <c r="F337" s="49">
        <v>1927.7</v>
      </c>
      <c r="G337" s="46">
        <f>SUM(H337:S337)</f>
        <v>500000</v>
      </c>
      <c r="H337" s="23">
        <v>500000</v>
      </c>
      <c r="I337" s="35"/>
      <c r="J337" s="35">
        <v>0</v>
      </c>
      <c r="K337" s="35">
        <v>0</v>
      </c>
      <c r="L337" s="35"/>
      <c r="M337" s="35">
        <v>0</v>
      </c>
      <c r="N337" s="35"/>
      <c r="O337" s="35"/>
      <c r="P337" s="35"/>
      <c r="Q337" s="35">
        <v>0</v>
      </c>
      <c r="R337" s="35"/>
      <c r="S337" s="35">
        <v>0</v>
      </c>
      <c r="T337" s="56">
        <v>223700</v>
      </c>
      <c r="U337" s="35">
        <v>0</v>
      </c>
      <c r="V337" s="56">
        <v>276300</v>
      </c>
      <c r="W337" s="46">
        <v>0</v>
      </c>
      <c r="X337" s="165">
        <v>2014</v>
      </c>
      <c r="Y337" s="165">
        <v>2015</v>
      </c>
      <c r="Z337" s="176"/>
    </row>
    <row r="338" spans="1:26" s="122" customFormat="1" ht="18" customHeight="1">
      <c r="A338" s="165">
        <f t="shared" si="42"/>
        <v>292</v>
      </c>
      <c r="B338" s="24" t="s">
        <v>93</v>
      </c>
      <c r="C338" s="148">
        <v>1965</v>
      </c>
      <c r="D338" s="165"/>
      <c r="E338" s="45">
        <v>4183.5</v>
      </c>
      <c r="F338" s="49">
        <v>3932.7</v>
      </c>
      <c r="G338" s="46">
        <f>SUM(H338:S338)</f>
        <v>600000</v>
      </c>
      <c r="H338" s="23">
        <v>600000</v>
      </c>
      <c r="I338" s="35"/>
      <c r="J338" s="35">
        <v>0</v>
      </c>
      <c r="K338" s="35">
        <v>0</v>
      </c>
      <c r="L338" s="35"/>
      <c r="M338" s="35">
        <v>0</v>
      </c>
      <c r="N338" s="35"/>
      <c r="O338" s="35"/>
      <c r="P338" s="35"/>
      <c r="Q338" s="35">
        <v>0</v>
      </c>
      <c r="R338" s="35"/>
      <c r="S338" s="35">
        <v>0</v>
      </c>
      <c r="T338" s="56">
        <v>268440</v>
      </c>
      <c r="U338" s="35">
        <v>0</v>
      </c>
      <c r="V338" s="56">
        <v>331560</v>
      </c>
      <c r="W338" s="46">
        <v>0</v>
      </c>
      <c r="X338" s="165">
        <v>2014</v>
      </c>
      <c r="Y338" s="165">
        <v>2015</v>
      </c>
      <c r="Z338" s="176"/>
    </row>
    <row r="339" spans="1:26" s="122" customFormat="1" ht="18" customHeight="1">
      <c r="A339" s="165">
        <f t="shared" si="42"/>
        <v>293</v>
      </c>
      <c r="B339" s="24" t="s">
        <v>88</v>
      </c>
      <c r="C339" s="148">
        <v>1991</v>
      </c>
      <c r="D339" s="165"/>
      <c r="E339" s="45">
        <v>3551.9</v>
      </c>
      <c r="F339" s="49">
        <v>3176.2</v>
      </c>
      <c r="G339" s="46">
        <f>SUM(H339:S339)</f>
        <v>500000</v>
      </c>
      <c r="H339" s="23">
        <v>500000</v>
      </c>
      <c r="I339" s="35"/>
      <c r="J339" s="35">
        <v>0</v>
      </c>
      <c r="K339" s="35">
        <v>0</v>
      </c>
      <c r="L339" s="35"/>
      <c r="M339" s="35">
        <v>0</v>
      </c>
      <c r="N339" s="35"/>
      <c r="O339" s="35">
        <v>0</v>
      </c>
      <c r="P339" s="35"/>
      <c r="Q339" s="35">
        <v>0</v>
      </c>
      <c r="R339" s="35"/>
      <c r="S339" s="35">
        <v>0</v>
      </c>
      <c r="T339" s="56">
        <v>223700</v>
      </c>
      <c r="U339" s="35">
        <v>0</v>
      </c>
      <c r="V339" s="56">
        <v>276300</v>
      </c>
      <c r="W339" s="46">
        <v>0</v>
      </c>
      <c r="X339" s="165">
        <v>2014</v>
      </c>
      <c r="Y339" s="165">
        <v>2015</v>
      </c>
      <c r="Z339" s="176"/>
    </row>
    <row r="340" spans="1:26" s="122" customFormat="1" ht="18" customHeight="1">
      <c r="A340" s="165">
        <f t="shared" si="42"/>
        <v>294</v>
      </c>
      <c r="B340" s="24" t="s">
        <v>32</v>
      </c>
      <c r="C340" s="148">
        <v>1967</v>
      </c>
      <c r="D340" s="165"/>
      <c r="E340" s="45">
        <v>2433</v>
      </c>
      <c r="F340" s="45">
        <f>2433-45</f>
        <v>2388</v>
      </c>
      <c r="G340" s="46">
        <f>SUM(H340:S340)</f>
        <v>500000</v>
      </c>
      <c r="H340" s="23">
        <v>500000</v>
      </c>
      <c r="I340" s="35"/>
      <c r="J340" s="35">
        <v>0</v>
      </c>
      <c r="K340" s="35">
        <v>0</v>
      </c>
      <c r="L340" s="35"/>
      <c r="M340" s="35">
        <v>0</v>
      </c>
      <c r="N340" s="35"/>
      <c r="O340" s="35">
        <v>0</v>
      </c>
      <c r="P340" s="35"/>
      <c r="Q340" s="35">
        <v>0</v>
      </c>
      <c r="R340" s="35"/>
      <c r="S340" s="35">
        <v>0</v>
      </c>
      <c r="T340" s="56">
        <v>223700</v>
      </c>
      <c r="U340" s="35">
        <v>0</v>
      </c>
      <c r="V340" s="56">
        <v>276300</v>
      </c>
      <c r="W340" s="46">
        <v>0</v>
      </c>
      <c r="X340" s="165">
        <v>2014</v>
      </c>
      <c r="Y340" s="165">
        <v>2015</v>
      </c>
      <c r="Z340" s="176"/>
    </row>
    <row r="341" spans="1:26" s="122" customFormat="1" ht="18" customHeight="1">
      <c r="A341" s="165">
        <f t="shared" si="42"/>
        <v>295</v>
      </c>
      <c r="B341" s="24" t="s">
        <v>30</v>
      </c>
      <c r="C341" s="148">
        <v>1979</v>
      </c>
      <c r="D341" s="165"/>
      <c r="E341" s="45">
        <v>7926.5</v>
      </c>
      <c r="F341" s="49">
        <v>6937.5</v>
      </c>
      <c r="G341" s="46">
        <f>SUM(H341:S341)</f>
        <v>2247834</v>
      </c>
      <c r="H341" s="35">
        <v>0</v>
      </c>
      <c r="I341" s="35"/>
      <c r="J341" s="35">
        <v>0</v>
      </c>
      <c r="K341" s="35"/>
      <c r="L341" s="35"/>
      <c r="M341" s="35">
        <v>0</v>
      </c>
      <c r="N341" s="35">
        <v>0</v>
      </c>
      <c r="O341" s="56">
        <v>2247834</v>
      </c>
      <c r="P341" s="56"/>
      <c r="Q341" s="35">
        <v>0</v>
      </c>
      <c r="R341" s="35"/>
      <c r="S341" s="35">
        <v>0</v>
      </c>
      <c r="T341" s="56">
        <f>1105144.66-0.66-99463.4</f>
        <v>1005680.6</v>
      </c>
      <c r="U341" s="35">
        <v>0</v>
      </c>
      <c r="V341" s="58">
        <f>G341-T341</f>
        <v>1242153.3999999999</v>
      </c>
      <c r="W341" s="46">
        <v>0</v>
      </c>
      <c r="X341" s="165">
        <v>2014</v>
      </c>
      <c r="Y341" s="165">
        <v>2015</v>
      </c>
      <c r="Z341" s="176"/>
    </row>
    <row r="342" spans="1:26" s="122" customFormat="1" ht="18" customHeight="1">
      <c r="A342" s="165">
        <f t="shared" si="42"/>
        <v>296</v>
      </c>
      <c r="B342" s="24" t="s">
        <v>31</v>
      </c>
      <c r="C342" s="148">
        <v>1977</v>
      </c>
      <c r="D342" s="165"/>
      <c r="E342" s="45">
        <v>4678.6000000000004</v>
      </c>
      <c r="F342" s="49">
        <v>4102.8999999999996</v>
      </c>
      <c r="G342" s="46">
        <f>SUM(H342:S342)</f>
        <v>1719500</v>
      </c>
      <c r="H342" s="35">
        <v>0</v>
      </c>
      <c r="I342" s="35"/>
      <c r="J342" s="35">
        <v>0</v>
      </c>
      <c r="K342" s="35">
        <v>1719500</v>
      </c>
      <c r="L342" s="35"/>
      <c r="M342" s="35">
        <v>0</v>
      </c>
      <c r="N342" s="35"/>
      <c r="O342" s="35">
        <v>0</v>
      </c>
      <c r="P342" s="35"/>
      <c r="Q342" s="35">
        <v>0</v>
      </c>
      <c r="R342" s="35"/>
      <c r="S342" s="35">
        <v>0</v>
      </c>
      <c r="T342" s="56">
        <f>809794-40489.7</f>
        <v>769304.3</v>
      </c>
      <c r="U342" s="35">
        <v>0</v>
      </c>
      <c r="V342" s="58">
        <f>G342-T342</f>
        <v>950195.7</v>
      </c>
      <c r="W342" s="46">
        <v>0</v>
      </c>
      <c r="X342" s="165">
        <v>2014</v>
      </c>
      <c r="Y342" s="165">
        <v>2015</v>
      </c>
      <c r="Z342" s="176"/>
    </row>
    <row r="343" spans="1:26" s="122" customFormat="1" ht="18" customHeight="1">
      <c r="A343" s="165">
        <f t="shared" si="42"/>
        <v>297</v>
      </c>
      <c r="B343" s="24" t="s">
        <v>86</v>
      </c>
      <c r="C343" s="148">
        <v>1981</v>
      </c>
      <c r="D343" s="165"/>
      <c r="E343" s="45">
        <v>2575.9</v>
      </c>
      <c r="F343" s="49">
        <v>2464.6999999999998</v>
      </c>
      <c r="G343" s="46">
        <f>SUM(H343:S343)</f>
        <v>600000</v>
      </c>
      <c r="H343" s="23">
        <v>600000</v>
      </c>
      <c r="I343" s="35"/>
      <c r="J343" s="35">
        <v>0</v>
      </c>
      <c r="K343" s="35">
        <v>0</v>
      </c>
      <c r="L343" s="35"/>
      <c r="M343" s="35">
        <v>0</v>
      </c>
      <c r="N343" s="35"/>
      <c r="O343" s="35">
        <v>0</v>
      </c>
      <c r="P343" s="35"/>
      <c r="Q343" s="35">
        <v>0</v>
      </c>
      <c r="R343" s="35"/>
      <c r="S343" s="35">
        <v>0</v>
      </c>
      <c r="T343" s="56">
        <v>268440</v>
      </c>
      <c r="U343" s="35">
        <v>0</v>
      </c>
      <c r="V343" s="56">
        <v>331560</v>
      </c>
      <c r="W343" s="46">
        <v>0</v>
      </c>
      <c r="X343" s="165">
        <v>2014</v>
      </c>
      <c r="Y343" s="165">
        <v>2015</v>
      </c>
      <c r="Z343" s="176"/>
    </row>
    <row r="344" spans="1:26" s="122" customFormat="1" ht="18" customHeight="1">
      <c r="A344" s="165">
        <f t="shared" si="42"/>
        <v>298</v>
      </c>
      <c r="B344" s="24" t="s">
        <v>33</v>
      </c>
      <c r="C344" s="148">
        <v>1981</v>
      </c>
      <c r="D344" s="165"/>
      <c r="E344" s="45">
        <v>2569.3000000000002</v>
      </c>
      <c r="F344" s="49">
        <v>2239</v>
      </c>
      <c r="G344" s="46">
        <f>SUM(H344:S344)</f>
        <v>600000</v>
      </c>
      <c r="H344" s="23">
        <v>600000</v>
      </c>
      <c r="I344" s="35"/>
      <c r="J344" s="35">
        <v>0</v>
      </c>
      <c r="K344" s="35">
        <v>0</v>
      </c>
      <c r="L344" s="35"/>
      <c r="M344" s="35">
        <v>0</v>
      </c>
      <c r="N344" s="35"/>
      <c r="O344" s="35">
        <v>0</v>
      </c>
      <c r="P344" s="35"/>
      <c r="Q344" s="35">
        <v>0</v>
      </c>
      <c r="R344" s="35"/>
      <c r="S344" s="35">
        <v>0</v>
      </c>
      <c r="T344" s="56">
        <v>268440</v>
      </c>
      <c r="U344" s="35">
        <v>0</v>
      </c>
      <c r="V344" s="56">
        <v>331560</v>
      </c>
      <c r="W344" s="46">
        <v>0</v>
      </c>
      <c r="X344" s="165">
        <v>2014</v>
      </c>
      <c r="Y344" s="165">
        <v>2015</v>
      </c>
      <c r="Z344" s="176"/>
    </row>
    <row r="345" spans="1:26" s="122" customFormat="1" ht="18" customHeight="1">
      <c r="A345" s="165">
        <f t="shared" si="42"/>
        <v>299</v>
      </c>
      <c r="B345" s="24" t="s">
        <v>85</v>
      </c>
      <c r="C345" s="148">
        <v>1981</v>
      </c>
      <c r="D345" s="165"/>
      <c r="E345" s="45">
        <v>3963.6</v>
      </c>
      <c r="F345" s="49">
        <v>3474.1</v>
      </c>
      <c r="G345" s="46">
        <f>SUM(H345:S345)</f>
        <v>500000</v>
      </c>
      <c r="H345" s="23">
        <v>500000</v>
      </c>
      <c r="I345" s="35"/>
      <c r="J345" s="35">
        <v>0</v>
      </c>
      <c r="K345" s="35">
        <v>0</v>
      </c>
      <c r="L345" s="35"/>
      <c r="M345" s="35">
        <v>0</v>
      </c>
      <c r="N345" s="35"/>
      <c r="O345" s="35">
        <v>0</v>
      </c>
      <c r="P345" s="35"/>
      <c r="Q345" s="35">
        <v>0</v>
      </c>
      <c r="R345" s="35"/>
      <c r="S345" s="35">
        <v>0</v>
      </c>
      <c r="T345" s="56">
        <v>223700</v>
      </c>
      <c r="U345" s="35">
        <v>0</v>
      </c>
      <c r="V345" s="56">
        <v>276300</v>
      </c>
      <c r="W345" s="46">
        <v>0</v>
      </c>
      <c r="X345" s="165">
        <v>2014</v>
      </c>
      <c r="Y345" s="165">
        <v>2015</v>
      </c>
      <c r="Z345" s="176"/>
    </row>
    <row r="346" spans="1:26" s="122" customFormat="1" ht="18" customHeight="1">
      <c r="A346" s="165">
        <f t="shared" si="42"/>
        <v>300</v>
      </c>
      <c r="B346" s="24" t="s">
        <v>87</v>
      </c>
      <c r="C346" s="148">
        <v>1990</v>
      </c>
      <c r="D346" s="165"/>
      <c r="E346" s="45">
        <v>6088.7</v>
      </c>
      <c r="F346" s="49">
        <v>5339.6</v>
      </c>
      <c r="G346" s="46">
        <f>SUM(H346:S346)</f>
        <v>1049280</v>
      </c>
      <c r="H346" s="35">
        <v>0</v>
      </c>
      <c r="I346" s="35"/>
      <c r="J346" s="35">
        <v>0</v>
      </c>
      <c r="K346" s="35"/>
      <c r="L346" s="35"/>
      <c r="M346" s="35">
        <v>0</v>
      </c>
      <c r="N346" s="35">
        <v>0</v>
      </c>
      <c r="O346" s="56">
        <v>1049280</v>
      </c>
      <c r="P346" s="56"/>
      <c r="Q346" s="35">
        <v>0</v>
      </c>
      <c r="R346" s="35"/>
      <c r="S346" s="35">
        <v>0</v>
      </c>
      <c r="T346" s="35">
        <f>515877-46429.26</f>
        <v>469447.74</v>
      </c>
      <c r="U346" s="35">
        <v>0</v>
      </c>
      <c r="V346" s="58">
        <f>G346-T346</f>
        <v>579832.26</v>
      </c>
      <c r="W346" s="46">
        <v>0</v>
      </c>
      <c r="X346" s="165">
        <v>2014</v>
      </c>
      <c r="Y346" s="165">
        <v>2015</v>
      </c>
      <c r="Z346" s="176"/>
    </row>
    <row r="347" spans="1:26" s="122" customFormat="1" ht="18" customHeight="1">
      <c r="A347" s="165">
        <f t="shared" si="42"/>
        <v>301</v>
      </c>
      <c r="B347" s="24" t="s">
        <v>213</v>
      </c>
      <c r="C347" s="148">
        <v>1972</v>
      </c>
      <c r="D347" s="51"/>
      <c r="E347" s="126">
        <v>6353.3</v>
      </c>
      <c r="F347" s="49">
        <v>5672.6</v>
      </c>
      <c r="G347" s="46">
        <f>SUM(H347:S347)</f>
        <v>4249043.75</v>
      </c>
      <c r="H347" s="35">
        <v>0</v>
      </c>
      <c r="I347" s="35"/>
      <c r="J347" s="35">
        <v>0</v>
      </c>
      <c r="K347" s="35">
        <v>0</v>
      </c>
      <c r="L347" s="35"/>
      <c r="M347" s="35">
        <v>0</v>
      </c>
      <c r="N347" s="35"/>
      <c r="O347" s="35">
        <v>4249043.75</v>
      </c>
      <c r="P347" s="35"/>
      <c r="Q347" s="35">
        <v>0</v>
      </c>
      <c r="R347" s="35"/>
      <c r="S347" s="35">
        <v>0</v>
      </c>
      <c r="T347" s="35">
        <v>0</v>
      </c>
      <c r="U347" s="35">
        <v>0</v>
      </c>
      <c r="V347" s="35">
        <v>0</v>
      </c>
      <c r="W347" s="46">
        <f>G347</f>
        <v>4249043.75</v>
      </c>
      <c r="X347" s="165">
        <v>2015</v>
      </c>
      <c r="Y347" s="165">
        <v>2015</v>
      </c>
      <c r="Z347" s="176"/>
    </row>
    <row r="348" spans="1:26" s="122" customFormat="1" ht="18" customHeight="1">
      <c r="A348" s="165">
        <f t="shared" si="42"/>
        <v>302</v>
      </c>
      <c r="B348" s="24" t="s">
        <v>212</v>
      </c>
      <c r="C348" s="148">
        <v>1970</v>
      </c>
      <c r="D348" s="51"/>
      <c r="E348" s="126">
        <v>2588</v>
      </c>
      <c r="F348" s="49">
        <v>2311.3000000000002</v>
      </c>
      <c r="G348" s="46">
        <f>SUM(H348:S348)</f>
        <v>3044614.5</v>
      </c>
      <c r="H348" s="35">
        <v>0</v>
      </c>
      <c r="I348" s="35"/>
      <c r="J348" s="35">
        <v>3044614.5</v>
      </c>
      <c r="K348" s="35">
        <v>0</v>
      </c>
      <c r="L348" s="35"/>
      <c r="M348" s="35">
        <v>0</v>
      </c>
      <c r="N348" s="35"/>
      <c r="O348" s="35">
        <v>0</v>
      </c>
      <c r="P348" s="35"/>
      <c r="Q348" s="35">
        <v>0</v>
      </c>
      <c r="R348" s="35"/>
      <c r="S348" s="35">
        <v>0</v>
      </c>
      <c r="T348" s="35">
        <v>0</v>
      </c>
      <c r="U348" s="35">
        <v>0</v>
      </c>
      <c r="V348" s="35">
        <v>0</v>
      </c>
      <c r="W348" s="46">
        <f>G348</f>
        <v>3044614.5</v>
      </c>
      <c r="X348" s="165">
        <v>2015</v>
      </c>
      <c r="Y348" s="165">
        <v>2015</v>
      </c>
      <c r="Z348" s="176"/>
    </row>
    <row r="349" spans="1:26" s="122" customFormat="1" ht="18" customHeight="1">
      <c r="A349" s="165">
        <f t="shared" si="42"/>
        <v>303</v>
      </c>
      <c r="B349" s="24" t="s">
        <v>214</v>
      </c>
      <c r="C349" s="148">
        <v>1957</v>
      </c>
      <c r="D349" s="51"/>
      <c r="E349" s="126">
        <v>8299.7000000000007</v>
      </c>
      <c r="F349" s="49">
        <v>7630.3</v>
      </c>
      <c r="G349" s="46">
        <f>SUM(H349:S349)</f>
        <v>9097952.5</v>
      </c>
      <c r="H349" s="35">
        <v>0</v>
      </c>
      <c r="I349" s="35"/>
      <c r="J349" s="35">
        <v>0</v>
      </c>
      <c r="K349" s="35">
        <v>9097952.5</v>
      </c>
      <c r="L349" s="35"/>
      <c r="M349" s="35">
        <v>0</v>
      </c>
      <c r="N349" s="35"/>
      <c r="O349" s="35">
        <v>0</v>
      </c>
      <c r="P349" s="35"/>
      <c r="Q349" s="35">
        <v>0</v>
      </c>
      <c r="R349" s="35"/>
      <c r="S349" s="35">
        <v>0</v>
      </c>
      <c r="T349" s="35">
        <v>0</v>
      </c>
      <c r="U349" s="35">
        <v>0</v>
      </c>
      <c r="V349" s="35">
        <v>0</v>
      </c>
      <c r="W349" s="46">
        <f>G349</f>
        <v>9097952.5</v>
      </c>
      <c r="X349" s="165">
        <v>2015</v>
      </c>
      <c r="Y349" s="165">
        <v>2015</v>
      </c>
      <c r="Z349" s="176"/>
    </row>
    <row r="350" spans="1:26" s="122" customFormat="1" ht="18" customHeight="1">
      <c r="A350" s="165">
        <f t="shared" si="42"/>
        <v>304</v>
      </c>
      <c r="B350" s="24" t="s">
        <v>216</v>
      </c>
      <c r="C350" s="148">
        <v>1976</v>
      </c>
      <c r="D350" s="51"/>
      <c r="E350" s="126">
        <v>2389.6</v>
      </c>
      <c r="F350" s="49">
        <v>2097.4</v>
      </c>
      <c r="G350" s="46">
        <f>SUM(H350:S350)</f>
        <v>2600000</v>
      </c>
      <c r="H350" s="35">
        <v>0</v>
      </c>
      <c r="I350" s="35"/>
      <c r="J350" s="35">
        <v>0</v>
      </c>
      <c r="K350" s="35">
        <v>2600000</v>
      </c>
      <c r="L350" s="35"/>
      <c r="M350" s="35">
        <v>0</v>
      </c>
      <c r="N350" s="35"/>
      <c r="O350" s="35">
        <v>0</v>
      </c>
      <c r="P350" s="35"/>
      <c r="Q350" s="35">
        <v>0</v>
      </c>
      <c r="R350" s="35"/>
      <c r="S350" s="35">
        <v>0</v>
      </c>
      <c r="T350" s="35">
        <v>0</v>
      </c>
      <c r="U350" s="35">
        <v>0</v>
      </c>
      <c r="V350" s="35">
        <v>0</v>
      </c>
      <c r="W350" s="46">
        <f>G350</f>
        <v>2600000</v>
      </c>
      <c r="X350" s="165">
        <v>2015</v>
      </c>
      <c r="Y350" s="165">
        <v>2015</v>
      </c>
      <c r="Z350" s="176"/>
    </row>
    <row r="351" spans="1:26" s="122" customFormat="1" ht="18" customHeight="1">
      <c r="A351" s="165">
        <f t="shared" si="42"/>
        <v>305</v>
      </c>
      <c r="B351" s="24" t="s">
        <v>218</v>
      </c>
      <c r="C351" s="148">
        <v>1975</v>
      </c>
      <c r="D351" s="51"/>
      <c r="E351" s="126">
        <v>3980.7</v>
      </c>
      <c r="F351" s="49">
        <v>3495.2</v>
      </c>
      <c r="G351" s="46">
        <f>SUM(H351:S351)</f>
        <v>4400000</v>
      </c>
      <c r="H351" s="35">
        <v>0</v>
      </c>
      <c r="I351" s="35"/>
      <c r="J351" s="35">
        <v>0</v>
      </c>
      <c r="K351" s="35">
        <v>4400000</v>
      </c>
      <c r="L351" s="35"/>
      <c r="M351" s="35">
        <v>0</v>
      </c>
      <c r="N351" s="35"/>
      <c r="O351" s="35">
        <v>0</v>
      </c>
      <c r="P351" s="35"/>
      <c r="Q351" s="35">
        <v>0</v>
      </c>
      <c r="R351" s="35"/>
      <c r="S351" s="35">
        <v>0</v>
      </c>
      <c r="T351" s="35">
        <v>0</v>
      </c>
      <c r="U351" s="35">
        <v>0</v>
      </c>
      <c r="V351" s="35">
        <v>0</v>
      </c>
      <c r="W351" s="46">
        <f>G351</f>
        <v>4400000</v>
      </c>
      <c r="X351" s="165">
        <v>2015</v>
      </c>
      <c r="Y351" s="165">
        <v>2015</v>
      </c>
      <c r="Z351" s="176"/>
    </row>
    <row r="352" spans="1:26" s="122" customFormat="1" ht="18" customHeight="1">
      <c r="A352" s="165">
        <f t="shared" si="42"/>
        <v>306</v>
      </c>
      <c r="B352" s="63" t="s">
        <v>545</v>
      </c>
      <c r="C352" s="154">
        <v>1987</v>
      </c>
      <c r="D352" s="60"/>
      <c r="E352" s="49">
        <v>6124.1</v>
      </c>
      <c r="F352" s="49">
        <v>5464.1</v>
      </c>
      <c r="G352" s="46">
        <f>H352+J352+K352+M352+O352+Q352+S352</f>
        <v>4819882.6100000003</v>
      </c>
      <c r="H352" s="35">
        <v>0</v>
      </c>
      <c r="I352" s="35">
        <f>H352/F352</f>
        <v>0</v>
      </c>
      <c r="J352" s="35">
        <v>0</v>
      </c>
      <c r="K352" s="35">
        <v>0</v>
      </c>
      <c r="L352" s="35">
        <f>K352/F352</f>
        <v>0</v>
      </c>
      <c r="M352" s="35">
        <v>0</v>
      </c>
      <c r="N352" s="35"/>
      <c r="O352" s="61">
        <v>4819882.6100000003</v>
      </c>
      <c r="P352" s="35">
        <f>O352/F352</f>
        <v>882.1</v>
      </c>
      <c r="Q352" s="35">
        <v>0</v>
      </c>
      <c r="R352" s="35"/>
      <c r="S352" s="35">
        <v>0</v>
      </c>
      <c r="T352" s="35">
        <v>0</v>
      </c>
      <c r="U352" s="35">
        <v>0</v>
      </c>
      <c r="V352" s="35">
        <v>0</v>
      </c>
      <c r="W352" s="62">
        <f>G352</f>
        <v>4819882.6100000003</v>
      </c>
      <c r="X352" s="165">
        <v>2016</v>
      </c>
      <c r="Y352" s="165">
        <v>2016</v>
      </c>
      <c r="Z352" s="176">
        <f>Z325+1</f>
        <v>194</v>
      </c>
    </row>
    <row r="353" spans="1:26" s="122" customFormat="1" ht="18" customHeight="1">
      <c r="A353" s="165">
        <f t="shared" si="42"/>
        <v>307</v>
      </c>
      <c r="B353" s="63" t="s">
        <v>220</v>
      </c>
      <c r="C353" s="154">
        <v>1973</v>
      </c>
      <c r="D353" s="60"/>
      <c r="E353" s="49">
        <v>4176.3999999999996</v>
      </c>
      <c r="F353" s="49">
        <v>3671.9</v>
      </c>
      <c r="G353" s="46">
        <f>H353+J353+K353+M353+O353+Q353+S353</f>
        <v>1800000</v>
      </c>
      <c r="H353" s="35">
        <v>0</v>
      </c>
      <c r="I353" s="35">
        <f>H353/F353</f>
        <v>0</v>
      </c>
      <c r="J353" s="35">
        <v>0</v>
      </c>
      <c r="K353" s="61">
        <v>1800000</v>
      </c>
      <c r="L353" s="35">
        <f>K353/F353</f>
        <v>490.20942836133878</v>
      </c>
      <c r="M353" s="35">
        <v>0</v>
      </c>
      <c r="N353" s="35"/>
      <c r="O353" s="35">
        <v>0</v>
      </c>
      <c r="P353" s="35">
        <f>O353/F353</f>
        <v>0</v>
      </c>
      <c r="Q353" s="35">
        <v>0</v>
      </c>
      <c r="R353" s="35"/>
      <c r="S353" s="35">
        <v>0</v>
      </c>
      <c r="T353" s="35">
        <v>0</v>
      </c>
      <c r="U353" s="35">
        <v>0</v>
      </c>
      <c r="V353" s="35">
        <v>0</v>
      </c>
      <c r="W353" s="62">
        <f>G353</f>
        <v>1800000</v>
      </c>
      <c r="X353" s="165">
        <v>2016</v>
      </c>
      <c r="Y353" s="165">
        <v>2016</v>
      </c>
      <c r="Z353" s="176">
        <f>Z352+1</f>
        <v>195</v>
      </c>
    </row>
    <row r="354" spans="1:26" s="122" customFormat="1" ht="18" customHeight="1">
      <c r="A354" s="165">
        <f t="shared" si="42"/>
        <v>308</v>
      </c>
      <c r="B354" s="63" t="s">
        <v>221</v>
      </c>
      <c r="C354" s="154">
        <v>1973</v>
      </c>
      <c r="D354" s="60"/>
      <c r="E354" s="49">
        <v>1745.7</v>
      </c>
      <c r="F354" s="49">
        <v>1586</v>
      </c>
      <c r="G354" s="46">
        <f>H354+J354+K354+M354+O354+Q354+S354</f>
        <v>1317420</v>
      </c>
      <c r="H354" s="35">
        <v>0</v>
      </c>
      <c r="I354" s="35">
        <f>H354/F354</f>
        <v>0</v>
      </c>
      <c r="J354" s="35">
        <v>0</v>
      </c>
      <c r="K354" s="35">
        <v>0</v>
      </c>
      <c r="L354" s="35">
        <f>K354/F354</f>
        <v>0</v>
      </c>
      <c r="M354" s="35">
        <v>0</v>
      </c>
      <c r="N354" s="35"/>
      <c r="O354" s="61">
        <v>1317420</v>
      </c>
      <c r="P354" s="35">
        <f>O354/F354</f>
        <v>830.65573770491801</v>
      </c>
      <c r="Q354" s="35">
        <v>0</v>
      </c>
      <c r="R354" s="35"/>
      <c r="S354" s="35">
        <v>0</v>
      </c>
      <c r="T354" s="35">
        <v>0</v>
      </c>
      <c r="U354" s="35">
        <v>0</v>
      </c>
      <c r="V354" s="35">
        <v>0</v>
      </c>
      <c r="W354" s="62">
        <f>G354</f>
        <v>1317420</v>
      </c>
      <c r="X354" s="165">
        <v>2016</v>
      </c>
      <c r="Y354" s="165">
        <v>2016</v>
      </c>
      <c r="Z354" s="176">
        <f t="shared" ref="Z354:Z380" si="43">Z353+1</f>
        <v>196</v>
      </c>
    </row>
    <row r="355" spans="1:26" s="122" customFormat="1" ht="18" customHeight="1">
      <c r="A355" s="165">
        <f t="shared" si="42"/>
        <v>309</v>
      </c>
      <c r="B355" s="63" t="s">
        <v>527</v>
      </c>
      <c r="C355" s="154">
        <v>1965</v>
      </c>
      <c r="D355" s="60"/>
      <c r="E355" s="49">
        <v>4097.3</v>
      </c>
      <c r="F355" s="49">
        <v>3808.1</v>
      </c>
      <c r="G355" s="46">
        <f>H355+J355+K355+M355+O355+Q355+S355</f>
        <v>998199</v>
      </c>
      <c r="H355" s="61">
        <v>998199</v>
      </c>
      <c r="I355" s="35">
        <f>H355/F355</f>
        <v>262.12520679604</v>
      </c>
      <c r="J355" s="35">
        <v>0</v>
      </c>
      <c r="K355" s="35">
        <v>0</v>
      </c>
      <c r="L355" s="35">
        <f>K355/F355</f>
        <v>0</v>
      </c>
      <c r="M355" s="35">
        <v>0</v>
      </c>
      <c r="N355" s="35"/>
      <c r="O355" s="35">
        <v>0</v>
      </c>
      <c r="P355" s="35">
        <f>O355/F355</f>
        <v>0</v>
      </c>
      <c r="Q355" s="35">
        <v>0</v>
      </c>
      <c r="R355" s="35"/>
      <c r="S355" s="35">
        <v>0</v>
      </c>
      <c r="T355" s="35">
        <v>0</v>
      </c>
      <c r="U355" s="35">
        <v>0</v>
      </c>
      <c r="V355" s="35">
        <v>0</v>
      </c>
      <c r="W355" s="62">
        <f>G355</f>
        <v>998199</v>
      </c>
      <c r="X355" s="165">
        <v>2016</v>
      </c>
      <c r="Y355" s="165">
        <v>2016</v>
      </c>
      <c r="Z355" s="176">
        <f t="shared" si="43"/>
        <v>197</v>
      </c>
    </row>
    <row r="356" spans="1:26" s="122" customFormat="1" ht="18" customHeight="1">
      <c r="A356" s="165">
        <f t="shared" si="42"/>
        <v>310</v>
      </c>
      <c r="B356" s="63" t="s">
        <v>528</v>
      </c>
      <c r="C356" s="154">
        <v>1974</v>
      </c>
      <c r="D356" s="60"/>
      <c r="E356" s="49">
        <v>3321</v>
      </c>
      <c r="F356" s="49">
        <v>3000.7</v>
      </c>
      <c r="G356" s="46">
        <f>H356+J356+K356+M356+O356+Q356+S356</f>
        <v>998199</v>
      </c>
      <c r="H356" s="61">
        <v>998199</v>
      </c>
      <c r="I356" s="35">
        <f>H356/F356</f>
        <v>332.65538041123739</v>
      </c>
      <c r="J356" s="35">
        <v>0</v>
      </c>
      <c r="K356" s="35">
        <v>0</v>
      </c>
      <c r="L356" s="35">
        <f>K356/F356</f>
        <v>0</v>
      </c>
      <c r="M356" s="35">
        <v>0</v>
      </c>
      <c r="N356" s="35"/>
      <c r="O356" s="35">
        <v>0</v>
      </c>
      <c r="P356" s="35">
        <f>O356/F356</f>
        <v>0</v>
      </c>
      <c r="Q356" s="35">
        <v>0</v>
      </c>
      <c r="R356" s="35"/>
      <c r="S356" s="35">
        <v>0</v>
      </c>
      <c r="T356" s="35">
        <v>0</v>
      </c>
      <c r="U356" s="35">
        <v>0</v>
      </c>
      <c r="V356" s="35">
        <v>0</v>
      </c>
      <c r="W356" s="62">
        <f>G356</f>
        <v>998199</v>
      </c>
      <c r="X356" s="165">
        <v>2016</v>
      </c>
      <c r="Y356" s="165">
        <v>2016</v>
      </c>
      <c r="Z356" s="176">
        <f t="shared" si="43"/>
        <v>198</v>
      </c>
    </row>
    <row r="357" spans="1:26" s="122" customFormat="1" ht="18" customHeight="1">
      <c r="A357" s="165">
        <f t="shared" si="42"/>
        <v>311</v>
      </c>
      <c r="B357" s="63" t="s">
        <v>529</v>
      </c>
      <c r="C357" s="154">
        <v>1988</v>
      </c>
      <c r="D357" s="60"/>
      <c r="E357" s="49">
        <v>4839.6000000000004</v>
      </c>
      <c r="F357" s="49">
        <v>4964</v>
      </c>
      <c r="G357" s="46">
        <f>H357+J357+K357+M357+O357+Q357+S357</f>
        <v>698232.6</v>
      </c>
      <c r="H357" s="61">
        <v>698232.6</v>
      </c>
      <c r="I357" s="35">
        <f>H357/F357</f>
        <v>140.65926672038677</v>
      </c>
      <c r="J357" s="35">
        <v>0</v>
      </c>
      <c r="K357" s="35">
        <v>0</v>
      </c>
      <c r="L357" s="35">
        <f>K357/F357</f>
        <v>0</v>
      </c>
      <c r="M357" s="35">
        <v>0</v>
      </c>
      <c r="N357" s="35"/>
      <c r="O357" s="35">
        <v>0</v>
      </c>
      <c r="P357" s="35">
        <f>O357/F357</f>
        <v>0</v>
      </c>
      <c r="Q357" s="35">
        <v>0</v>
      </c>
      <c r="R357" s="35"/>
      <c r="S357" s="35">
        <v>0</v>
      </c>
      <c r="T357" s="35">
        <v>0</v>
      </c>
      <c r="U357" s="35">
        <v>0</v>
      </c>
      <c r="V357" s="35">
        <v>0</v>
      </c>
      <c r="W357" s="62">
        <f>G357</f>
        <v>698232.6</v>
      </c>
      <c r="X357" s="165">
        <v>2016</v>
      </c>
      <c r="Y357" s="165">
        <v>2016</v>
      </c>
      <c r="Z357" s="176">
        <f t="shared" si="43"/>
        <v>199</v>
      </c>
    </row>
    <row r="358" spans="1:26" s="122" customFormat="1" ht="18" customHeight="1">
      <c r="A358" s="165">
        <f t="shared" si="42"/>
        <v>312</v>
      </c>
      <c r="B358" s="63" t="s">
        <v>530</v>
      </c>
      <c r="C358" s="154">
        <v>1958</v>
      </c>
      <c r="D358" s="60"/>
      <c r="E358" s="49">
        <v>3188.2</v>
      </c>
      <c r="F358" s="49">
        <v>2883.3</v>
      </c>
      <c r="G358" s="46">
        <f>H358+J358+K358+M358+O358+Q358+S358</f>
        <v>798559.2</v>
      </c>
      <c r="H358" s="61">
        <v>798559.2</v>
      </c>
      <c r="I358" s="35">
        <f>H358/F358</f>
        <v>276.96014982832168</v>
      </c>
      <c r="J358" s="35">
        <v>0</v>
      </c>
      <c r="K358" s="35">
        <v>0</v>
      </c>
      <c r="L358" s="35">
        <f>K358/F358</f>
        <v>0</v>
      </c>
      <c r="M358" s="35">
        <v>0</v>
      </c>
      <c r="N358" s="35"/>
      <c r="O358" s="35">
        <v>0</v>
      </c>
      <c r="P358" s="35">
        <f>O358/F358</f>
        <v>0</v>
      </c>
      <c r="Q358" s="35">
        <v>0</v>
      </c>
      <c r="R358" s="35"/>
      <c r="S358" s="35">
        <v>0</v>
      </c>
      <c r="T358" s="35">
        <v>0</v>
      </c>
      <c r="U358" s="35">
        <v>0</v>
      </c>
      <c r="V358" s="35">
        <v>0</v>
      </c>
      <c r="W358" s="62">
        <f>G358</f>
        <v>798559.2</v>
      </c>
      <c r="X358" s="165">
        <v>2016</v>
      </c>
      <c r="Y358" s="165">
        <v>2016</v>
      </c>
      <c r="Z358" s="176">
        <f t="shared" si="43"/>
        <v>200</v>
      </c>
    </row>
    <row r="359" spans="1:26" s="122" customFormat="1" ht="18" customHeight="1">
      <c r="A359" s="165">
        <f t="shared" si="42"/>
        <v>313</v>
      </c>
      <c r="B359" s="63" t="s">
        <v>531</v>
      </c>
      <c r="C359" s="154">
        <v>1968</v>
      </c>
      <c r="D359" s="60"/>
      <c r="E359" s="49">
        <v>4090.3</v>
      </c>
      <c r="F359" s="49">
        <v>3838.3</v>
      </c>
      <c r="G359" s="46">
        <f>H359+J359+K359+M359+O359+Q359+S359</f>
        <v>798559.2</v>
      </c>
      <c r="H359" s="61">
        <v>798559.2</v>
      </c>
      <c r="I359" s="35">
        <f>H359/F359</f>
        <v>208.05023057082559</v>
      </c>
      <c r="J359" s="35">
        <v>0</v>
      </c>
      <c r="K359" s="35">
        <v>0</v>
      </c>
      <c r="L359" s="35">
        <f>K359/F359</f>
        <v>0</v>
      </c>
      <c r="M359" s="35">
        <v>0</v>
      </c>
      <c r="N359" s="35"/>
      <c r="O359" s="35">
        <v>0</v>
      </c>
      <c r="P359" s="35">
        <f>O359/F359</f>
        <v>0</v>
      </c>
      <c r="Q359" s="35">
        <v>0</v>
      </c>
      <c r="R359" s="35"/>
      <c r="S359" s="35">
        <v>0</v>
      </c>
      <c r="T359" s="35">
        <v>0</v>
      </c>
      <c r="U359" s="35">
        <v>0</v>
      </c>
      <c r="V359" s="35">
        <v>0</v>
      </c>
      <c r="W359" s="62">
        <f>G359</f>
        <v>798559.2</v>
      </c>
      <c r="X359" s="165">
        <v>2016</v>
      </c>
      <c r="Y359" s="165">
        <v>2016</v>
      </c>
      <c r="Z359" s="176">
        <f t="shared" si="43"/>
        <v>201</v>
      </c>
    </row>
    <row r="360" spans="1:26" s="122" customFormat="1" ht="18" customHeight="1">
      <c r="A360" s="165">
        <f>A359+1</f>
        <v>314</v>
      </c>
      <c r="B360" s="63" t="s">
        <v>534</v>
      </c>
      <c r="C360" s="154">
        <v>1996</v>
      </c>
      <c r="D360" s="60"/>
      <c r="E360" s="49">
        <v>6382.3</v>
      </c>
      <c r="F360" s="49">
        <v>5653</v>
      </c>
      <c r="G360" s="46">
        <f>H360+J360+K360+M360+O360+Q360+S360</f>
        <v>698232.6</v>
      </c>
      <c r="H360" s="61">
        <v>698232.6</v>
      </c>
      <c r="I360" s="35">
        <f>H360/F360</f>
        <v>123.51540774809835</v>
      </c>
      <c r="J360" s="35">
        <v>0</v>
      </c>
      <c r="K360" s="35">
        <v>0</v>
      </c>
      <c r="L360" s="35">
        <f>K360/F360</f>
        <v>0</v>
      </c>
      <c r="M360" s="35">
        <v>0</v>
      </c>
      <c r="N360" s="35"/>
      <c r="O360" s="35">
        <v>0</v>
      </c>
      <c r="P360" s="35">
        <f>O360/F360</f>
        <v>0</v>
      </c>
      <c r="Q360" s="35">
        <v>0</v>
      </c>
      <c r="R360" s="35"/>
      <c r="S360" s="35">
        <v>0</v>
      </c>
      <c r="T360" s="35">
        <v>0</v>
      </c>
      <c r="U360" s="35">
        <v>0</v>
      </c>
      <c r="V360" s="35">
        <v>0</v>
      </c>
      <c r="W360" s="62">
        <f>G360</f>
        <v>698232.6</v>
      </c>
      <c r="X360" s="165">
        <v>2016</v>
      </c>
      <c r="Y360" s="165">
        <v>2016</v>
      </c>
      <c r="Z360" s="176">
        <f t="shared" si="43"/>
        <v>202</v>
      </c>
    </row>
    <row r="361" spans="1:26" s="122" customFormat="1" ht="18" customHeight="1">
      <c r="A361" s="165">
        <f t="shared" si="42"/>
        <v>315</v>
      </c>
      <c r="B361" s="63" t="s">
        <v>532</v>
      </c>
      <c r="C361" s="154">
        <v>1969</v>
      </c>
      <c r="D361" s="60"/>
      <c r="E361" s="49">
        <v>4451.8999999999996</v>
      </c>
      <c r="F361" s="49">
        <v>4160.2</v>
      </c>
      <c r="G361" s="46">
        <f>H361+J361+K361+M361+O361+Q361+S361</f>
        <v>798559.2</v>
      </c>
      <c r="H361" s="61">
        <v>798559.2</v>
      </c>
      <c r="I361" s="35">
        <f>H361/F361</f>
        <v>191.95211768664967</v>
      </c>
      <c r="J361" s="35">
        <v>0</v>
      </c>
      <c r="K361" s="35">
        <v>0</v>
      </c>
      <c r="L361" s="35">
        <f>K361/F361</f>
        <v>0</v>
      </c>
      <c r="M361" s="35">
        <v>0</v>
      </c>
      <c r="N361" s="35"/>
      <c r="O361" s="35">
        <v>0</v>
      </c>
      <c r="P361" s="35">
        <f>O361/F361</f>
        <v>0</v>
      </c>
      <c r="Q361" s="35">
        <v>0</v>
      </c>
      <c r="R361" s="35"/>
      <c r="S361" s="35">
        <v>0</v>
      </c>
      <c r="T361" s="35">
        <v>0</v>
      </c>
      <c r="U361" s="35">
        <v>0</v>
      </c>
      <c r="V361" s="35">
        <v>0</v>
      </c>
      <c r="W361" s="62">
        <f>G361</f>
        <v>798559.2</v>
      </c>
      <c r="X361" s="165">
        <v>2016</v>
      </c>
      <c r="Y361" s="165">
        <v>2016</v>
      </c>
      <c r="Z361" s="176">
        <f t="shared" si="43"/>
        <v>203</v>
      </c>
    </row>
    <row r="362" spans="1:26" s="122" customFormat="1" ht="18" customHeight="1">
      <c r="A362" s="165">
        <f t="shared" si="42"/>
        <v>316</v>
      </c>
      <c r="B362" s="63" t="s">
        <v>533</v>
      </c>
      <c r="C362" s="154">
        <v>1961</v>
      </c>
      <c r="D362" s="60"/>
      <c r="E362" s="49">
        <v>3301.3</v>
      </c>
      <c r="F362" s="49">
        <v>3107.7</v>
      </c>
      <c r="G362" s="46">
        <f>H362+J362+K362+M362+O362+Q362+S362</f>
        <v>666817.19999999995</v>
      </c>
      <c r="H362" s="61">
        <v>666817.19999999995</v>
      </c>
      <c r="I362" s="35">
        <f>H362/F362</f>
        <v>214.56935997683175</v>
      </c>
      <c r="J362" s="35">
        <v>0</v>
      </c>
      <c r="K362" s="35">
        <v>0</v>
      </c>
      <c r="L362" s="35">
        <f>K362/F362</f>
        <v>0</v>
      </c>
      <c r="M362" s="35">
        <v>0</v>
      </c>
      <c r="N362" s="35"/>
      <c r="O362" s="35">
        <v>0</v>
      </c>
      <c r="P362" s="35">
        <f>O362/F362</f>
        <v>0</v>
      </c>
      <c r="Q362" s="35">
        <v>0</v>
      </c>
      <c r="R362" s="35"/>
      <c r="S362" s="35">
        <v>0</v>
      </c>
      <c r="T362" s="35">
        <v>0</v>
      </c>
      <c r="U362" s="35">
        <v>0</v>
      </c>
      <c r="V362" s="35">
        <v>0</v>
      </c>
      <c r="W362" s="62">
        <f>G362</f>
        <v>666817.19999999995</v>
      </c>
      <c r="X362" s="165">
        <v>2016</v>
      </c>
      <c r="Y362" s="165">
        <v>2016</v>
      </c>
      <c r="Z362" s="176">
        <f t="shared" si="43"/>
        <v>204</v>
      </c>
    </row>
    <row r="363" spans="1:26" s="122" customFormat="1" ht="18" customHeight="1">
      <c r="A363" s="165">
        <f t="shared" si="42"/>
        <v>317</v>
      </c>
      <c r="B363" s="63" t="s">
        <v>542</v>
      </c>
      <c r="C363" s="154">
        <v>1985</v>
      </c>
      <c r="D363" s="60"/>
      <c r="E363" s="49">
        <v>10672.7</v>
      </c>
      <c r="F363" s="49">
        <v>9258</v>
      </c>
      <c r="G363" s="46">
        <f>H363+J363+K363+M363+O363+Q363+S363</f>
        <v>2934705.06</v>
      </c>
      <c r="H363" s="35">
        <v>0</v>
      </c>
      <c r="I363" s="35"/>
      <c r="J363" s="61">
        <v>2934705.06</v>
      </c>
      <c r="K363" s="35">
        <v>0</v>
      </c>
      <c r="L363" s="35"/>
      <c r="M363" s="35">
        <v>0</v>
      </c>
      <c r="N363" s="35"/>
      <c r="O363" s="35">
        <v>0</v>
      </c>
      <c r="P363" s="35">
        <f>O363/F363</f>
        <v>0</v>
      </c>
      <c r="Q363" s="35">
        <v>0</v>
      </c>
      <c r="R363" s="35"/>
      <c r="S363" s="35">
        <v>0</v>
      </c>
      <c r="T363" s="35">
        <v>0</v>
      </c>
      <c r="U363" s="35">
        <v>0</v>
      </c>
      <c r="V363" s="35">
        <v>0</v>
      </c>
      <c r="W363" s="62">
        <f>G363</f>
        <v>2934705.06</v>
      </c>
      <c r="X363" s="165">
        <v>2016</v>
      </c>
      <c r="Y363" s="165">
        <v>2016</v>
      </c>
      <c r="Z363" s="176">
        <f t="shared" si="43"/>
        <v>205</v>
      </c>
    </row>
    <row r="364" spans="1:26" s="122" customFormat="1" ht="18" customHeight="1">
      <c r="A364" s="165">
        <f t="shared" si="42"/>
        <v>318</v>
      </c>
      <c r="B364" s="63" t="s">
        <v>535</v>
      </c>
      <c r="C364" s="154">
        <v>1985</v>
      </c>
      <c r="D364" s="60"/>
      <c r="E364" s="49">
        <v>3942.8</v>
      </c>
      <c r="F364" s="49">
        <v>3459.7</v>
      </c>
      <c r="G364" s="46">
        <f>H364+J364+K364+M364+O364+Q364+S364</f>
        <v>709380</v>
      </c>
      <c r="H364" s="61">
        <v>709380</v>
      </c>
      <c r="I364" s="35">
        <f>H364/F364</f>
        <v>205.04089949995665</v>
      </c>
      <c r="J364" s="35">
        <v>0</v>
      </c>
      <c r="K364" s="35">
        <v>0</v>
      </c>
      <c r="L364" s="35">
        <f>K364/F364</f>
        <v>0</v>
      </c>
      <c r="M364" s="35">
        <v>0</v>
      </c>
      <c r="N364" s="35"/>
      <c r="O364" s="35">
        <v>0</v>
      </c>
      <c r="P364" s="35">
        <f>O364/F364</f>
        <v>0</v>
      </c>
      <c r="Q364" s="35">
        <v>0</v>
      </c>
      <c r="R364" s="35"/>
      <c r="S364" s="35">
        <v>0</v>
      </c>
      <c r="T364" s="35">
        <v>0</v>
      </c>
      <c r="U364" s="35">
        <v>0</v>
      </c>
      <c r="V364" s="35">
        <v>0</v>
      </c>
      <c r="W364" s="62">
        <f>G364</f>
        <v>709380</v>
      </c>
      <c r="X364" s="165">
        <v>2016</v>
      </c>
      <c r="Y364" s="165">
        <v>2016</v>
      </c>
      <c r="Z364" s="176">
        <f t="shared" si="43"/>
        <v>206</v>
      </c>
    </row>
    <row r="365" spans="1:26" s="122" customFormat="1" ht="18" customHeight="1">
      <c r="A365" s="165">
        <f t="shared" si="42"/>
        <v>319</v>
      </c>
      <c r="B365" s="63" t="s">
        <v>537</v>
      </c>
      <c r="C365" s="154">
        <v>1977</v>
      </c>
      <c r="D365" s="60"/>
      <c r="E365" s="49">
        <v>4299.5</v>
      </c>
      <c r="F365" s="49">
        <v>3739.8</v>
      </c>
      <c r="G365" s="46">
        <f>H365+J365+K365+M365+O365+Q365+S365</f>
        <v>1097512.2</v>
      </c>
      <c r="H365" s="61">
        <v>1097512.2</v>
      </c>
      <c r="I365" s="35">
        <f>H365/F365</f>
        <v>293.4681533771859</v>
      </c>
      <c r="J365" s="35">
        <v>0</v>
      </c>
      <c r="K365" s="35">
        <v>0</v>
      </c>
      <c r="L365" s="35">
        <f>K365/F365</f>
        <v>0</v>
      </c>
      <c r="M365" s="35">
        <v>0</v>
      </c>
      <c r="N365" s="35"/>
      <c r="O365" s="35">
        <v>0</v>
      </c>
      <c r="P365" s="35">
        <f>O365/F365</f>
        <v>0</v>
      </c>
      <c r="Q365" s="35">
        <v>0</v>
      </c>
      <c r="R365" s="35"/>
      <c r="S365" s="35">
        <v>0</v>
      </c>
      <c r="T365" s="35">
        <v>0</v>
      </c>
      <c r="U365" s="35">
        <v>0</v>
      </c>
      <c r="V365" s="35">
        <v>0</v>
      </c>
      <c r="W365" s="62">
        <f>G365</f>
        <v>1097512.2</v>
      </c>
      <c r="X365" s="165">
        <v>2016</v>
      </c>
      <c r="Y365" s="165">
        <v>2016</v>
      </c>
      <c r="Z365" s="176">
        <f t="shared" si="43"/>
        <v>207</v>
      </c>
    </row>
    <row r="366" spans="1:26" s="122" customFormat="1" ht="18" customHeight="1">
      <c r="A366" s="165">
        <f t="shared" si="42"/>
        <v>320</v>
      </c>
      <c r="B366" s="63" t="s">
        <v>538</v>
      </c>
      <c r="C366" s="154">
        <v>1990</v>
      </c>
      <c r="D366" s="60"/>
      <c r="E366" s="49">
        <v>4008.6</v>
      </c>
      <c r="F366" s="49">
        <v>3502.8</v>
      </c>
      <c r="G366" s="46">
        <f>H366+J366+K366+M366+O366+Q366+S366</f>
        <v>590812.19999999995</v>
      </c>
      <c r="H366" s="61">
        <v>590812.19999999995</v>
      </c>
      <c r="I366" s="35">
        <f>H366/F366</f>
        <v>168.66855087358681</v>
      </c>
      <c r="J366" s="35">
        <v>0</v>
      </c>
      <c r="K366" s="35">
        <v>0</v>
      </c>
      <c r="L366" s="35">
        <f>K366/F366</f>
        <v>0</v>
      </c>
      <c r="M366" s="35">
        <v>0</v>
      </c>
      <c r="N366" s="35"/>
      <c r="O366" s="35">
        <v>0</v>
      </c>
      <c r="P366" s="35">
        <f>O366/F366</f>
        <v>0</v>
      </c>
      <c r="Q366" s="35">
        <v>0</v>
      </c>
      <c r="R366" s="35"/>
      <c r="S366" s="35">
        <v>0</v>
      </c>
      <c r="T366" s="35">
        <v>0</v>
      </c>
      <c r="U366" s="35">
        <v>0</v>
      </c>
      <c r="V366" s="35">
        <v>0</v>
      </c>
      <c r="W366" s="62">
        <f>G366</f>
        <v>590812.19999999995</v>
      </c>
      <c r="X366" s="165">
        <v>2016</v>
      </c>
      <c r="Y366" s="165">
        <v>2016</v>
      </c>
      <c r="Z366" s="176">
        <f t="shared" si="43"/>
        <v>208</v>
      </c>
    </row>
    <row r="367" spans="1:26" s="122" customFormat="1" ht="18" customHeight="1">
      <c r="A367" s="165">
        <f t="shared" si="42"/>
        <v>321</v>
      </c>
      <c r="B367" s="63" t="s">
        <v>539</v>
      </c>
      <c r="C367" s="154">
        <v>1988</v>
      </c>
      <c r="D367" s="60"/>
      <c r="E367" s="49">
        <v>5549.2</v>
      </c>
      <c r="F367" s="49">
        <v>3426.6</v>
      </c>
      <c r="G367" s="46">
        <f>H367+J367+K367+M367+O367+Q367+S367</f>
        <v>577638</v>
      </c>
      <c r="H367" s="61">
        <v>577638</v>
      </c>
      <c r="I367" s="35">
        <f>H367/F367</f>
        <v>168.57468044125372</v>
      </c>
      <c r="J367" s="35">
        <v>0</v>
      </c>
      <c r="K367" s="35">
        <v>0</v>
      </c>
      <c r="L367" s="35">
        <f>K367/F367</f>
        <v>0</v>
      </c>
      <c r="M367" s="35">
        <v>0</v>
      </c>
      <c r="N367" s="35"/>
      <c r="O367" s="35">
        <v>0</v>
      </c>
      <c r="P367" s="35">
        <f>O367/F367</f>
        <v>0</v>
      </c>
      <c r="Q367" s="35">
        <v>0</v>
      </c>
      <c r="R367" s="35"/>
      <c r="S367" s="35">
        <v>0</v>
      </c>
      <c r="T367" s="35">
        <v>0</v>
      </c>
      <c r="U367" s="35">
        <v>0</v>
      </c>
      <c r="V367" s="35">
        <v>0</v>
      </c>
      <c r="W367" s="62">
        <f>G367</f>
        <v>577638</v>
      </c>
      <c r="X367" s="165">
        <v>2016</v>
      </c>
      <c r="Y367" s="165">
        <v>2016</v>
      </c>
      <c r="Z367" s="176">
        <f t="shared" si="43"/>
        <v>209</v>
      </c>
    </row>
    <row r="368" spans="1:26" s="122" customFormat="1" ht="18" customHeight="1">
      <c r="A368" s="165">
        <f t="shared" si="42"/>
        <v>322</v>
      </c>
      <c r="B368" s="63" t="s">
        <v>536</v>
      </c>
      <c r="C368" s="154">
        <v>1974</v>
      </c>
      <c r="D368" s="60"/>
      <c r="E368" s="49">
        <v>3882.9</v>
      </c>
      <c r="F368" s="49">
        <v>3402.7</v>
      </c>
      <c r="G368" s="46">
        <f>H368+J368+K368+M368+O368+Q368+S368</f>
        <v>707353.2</v>
      </c>
      <c r="H368" s="61">
        <v>707353.2</v>
      </c>
      <c r="I368" s="35">
        <f>H368/F368</f>
        <v>207.8799776647956</v>
      </c>
      <c r="J368" s="35">
        <v>0</v>
      </c>
      <c r="K368" s="35">
        <v>0</v>
      </c>
      <c r="L368" s="35">
        <f>K368/F368</f>
        <v>0</v>
      </c>
      <c r="M368" s="35">
        <v>0</v>
      </c>
      <c r="N368" s="35"/>
      <c r="O368" s="35">
        <v>0</v>
      </c>
      <c r="P368" s="35">
        <f>O368/F368</f>
        <v>0</v>
      </c>
      <c r="Q368" s="35">
        <v>0</v>
      </c>
      <c r="R368" s="35"/>
      <c r="S368" s="35">
        <v>0</v>
      </c>
      <c r="T368" s="35">
        <v>0</v>
      </c>
      <c r="U368" s="35">
        <v>0</v>
      </c>
      <c r="V368" s="35">
        <v>0</v>
      </c>
      <c r="W368" s="62">
        <f>G368</f>
        <v>707353.2</v>
      </c>
      <c r="X368" s="165">
        <v>2016</v>
      </c>
      <c r="Y368" s="165">
        <v>2016</v>
      </c>
      <c r="Z368" s="176">
        <f t="shared" si="43"/>
        <v>210</v>
      </c>
    </row>
    <row r="369" spans="1:26" s="122" customFormat="1" ht="18" customHeight="1">
      <c r="A369" s="165">
        <f t="shared" si="42"/>
        <v>323</v>
      </c>
      <c r="B369" s="63" t="s">
        <v>540</v>
      </c>
      <c r="C369" s="154">
        <v>1957</v>
      </c>
      <c r="D369" s="60"/>
      <c r="E369" s="49">
        <v>2275.6</v>
      </c>
      <c r="F369" s="49">
        <v>2122.9</v>
      </c>
      <c r="G369" s="46">
        <f>H369+J369+K369+M369+O369+Q369+S369</f>
        <v>455016.6</v>
      </c>
      <c r="H369" s="61">
        <v>455016.6</v>
      </c>
      <c r="I369" s="35">
        <f>H369/F369</f>
        <v>214.33727448301849</v>
      </c>
      <c r="J369" s="35">
        <v>0</v>
      </c>
      <c r="K369" s="35">
        <v>0</v>
      </c>
      <c r="L369" s="35">
        <f>K369/F369</f>
        <v>0</v>
      </c>
      <c r="M369" s="35">
        <v>0</v>
      </c>
      <c r="N369" s="35"/>
      <c r="O369" s="35">
        <v>0</v>
      </c>
      <c r="P369" s="35">
        <f>O369/F369</f>
        <v>0</v>
      </c>
      <c r="Q369" s="35">
        <v>0</v>
      </c>
      <c r="R369" s="35"/>
      <c r="S369" s="35">
        <v>0</v>
      </c>
      <c r="T369" s="35">
        <v>0</v>
      </c>
      <c r="U369" s="35">
        <v>0</v>
      </c>
      <c r="V369" s="35">
        <v>0</v>
      </c>
      <c r="W369" s="62">
        <f>G369</f>
        <v>455016.6</v>
      </c>
      <c r="X369" s="165">
        <v>2016</v>
      </c>
      <c r="Y369" s="165">
        <v>2016</v>
      </c>
      <c r="Z369" s="176">
        <f t="shared" si="43"/>
        <v>211</v>
      </c>
    </row>
    <row r="370" spans="1:26" s="122" customFormat="1" ht="18" customHeight="1">
      <c r="A370" s="165">
        <f t="shared" si="42"/>
        <v>324</v>
      </c>
      <c r="B370" s="63" t="s">
        <v>541</v>
      </c>
      <c r="C370" s="154">
        <v>1983</v>
      </c>
      <c r="D370" s="60"/>
      <c r="E370" s="49">
        <v>1506.1</v>
      </c>
      <c r="F370" s="49">
        <v>1361.3</v>
      </c>
      <c r="G370" s="46">
        <f>H370+J370+K370+M370+O370+Q370+S370</f>
        <v>972864</v>
      </c>
      <c r="H370" s="35">
        <v>0</v>
      </c>
      <c r="I370" s="35"/>
      <c r="J370" s="35">
        <v>0</v>
      </c>
      <c r="K370" s="61">
        <v>972864</v>
      </c>
      <c r="L370" s="35">
        <f>K370/F370</f>
        <v>714.65804745463902</v>
      </c>
      <c r="M370" s="35">
        <v>0</v>
      </c>
      <c r="N370" s="35"/>
      <c r="O370" s="35">
        <v>0</v>
      </c>
      <c r="P370" s="35">
        <f>O370/F370</f>
        <v>0</v>
      </c>
      <c r="Q370" s="35">
        <v>0</v>
      </c>
      <c r="R370" s="35"/>
      <c r="S370" s="35">
        <v>0</v>
      </c>
      <c r="T370" s="35">
        <v>0</v>
      </c>
      <c r="U370" s="35">
        <v>0</v>
      </c>
      <c r="V370" s="35">
        <v>0</v>
      </c>
      <c r="W370" s="62">
        <f>G370</f>
        <v>972864</v>
      </c>
      <c r="X370" s="165">
        <v>2016</v>
      </c>
      <c r="Y370" s="165">
        <v>2016</v>
      </c>
      <c r="Z370" s="176">
        <f t="shared" si="43"/>
        <v>212</v>
      </c>
    </row>
    <row r="371" spans="1:26" s="122" customFormat="1" ht="18" customHeight="1">
      <c r="A371" s="165">
        <f t="shared" si="42"/>
        <v>325</v>
      </c>
      <c r="B371" s="63" t="s">
        <v>543</v>
      </c>
      <c r="C371" s="154">
        <v>1981</v>
      </c>
      <c r="D371" s="60"/>
      <c r="E371" s="49">
        <v>5449.7</v>
      </c>
      <c r="F371" s="49">
        <v>5038.7</v>
      </c>
      <c r="G371" s="46">
        <f>H371+J371+K371+M371+O371+Q371+S371</f>
        <v>850242.6</v>
      </c>
      <c r="H371" s="61">
        <v>850242.6</v>
      </c>
      <c r="I371" s="35">
        <f>H371/F371</f>
        <v>168.74245341060194</v>
      </c>
      <c r="J371" s="35">
        <v>0</v>
      </c>
      <c r="K371" s="35">
        <v>0</v>
      </c>
      <c r="L371" s="35"/>
      <c r="M371" s="35">
        <v>0</v>
      </c>
      <c r="N371" s="35"/>
      <c r="O371" s="35">
        <v>0</v>
      </c>
      <c r="P371" s="35">
        <f>O371/F371</f>
        <v>0</v>
      </c>
      <c r="Q371" s="35">
        <v>0</v>
      </c>
      <c r="R371" s="35"/>
      <c r="S371" s="35">
        <v>0</v>
      </c>
      <c r="T371" s="35">
        <v>0</v>
      </c>
      <c r="U371" s="35">
        <v>0</v>
      </c>
      <c r="V371" s="35">
        <v>0</v>
      </c>
      <c r="W371" s="62">
        <f>G371</f>
        <v>850242.6</v>
      </c>
      <c r="X371" s="165">
        <v>2016</v>
      </c>
      <c r="Y371" s="165">
        <v>2016</v>
      </c>
      <c r="Z371" s="176">
        <f t="shared" si="43"/>
        <v>213</v>
      </c>
    </row>
    <row r="372" spans="1:26" s="122" customFormat="1" ht="18" customHeight="1">
      <c r="A372" s="165">
        <f t="shared" si="42"/>
        <v>326</v>
      </c>
      <c r="B372" s="63" t="s">
        <v>544</v>
      </c>
      <c r="C372" s="154">
        <v>1990</v>
      </c>
      <c r="D372" s="60"/>
      <c r="E372" s="49">
        <v>6088.7</v>
      </c>
      <c r="F372" s="49">
        <v>5339.6</v>
      </c>
      <c r="G372" s="46">
        <f>H372+J372+K372+M372+O372+Q372+S372</f>
        <v>1097512.2</v>
      </c>
      <c r="H372" s="61">
        <v>1097512.2</v>
      </c>
      <c r="I372" s="35">
        <f>H372/F372</f>
        <v>205.54202561989661</v>
      </c>
      <c r="J372" s="35">
        <v>0</v>
      </c>
      <c r="K372" s="35">
        <v>0</v>
      </c>
      <c r="L372" s="35"/>
      <c r="M372" s="35">
        <v>0</v>
      </c>
      <c r="N372" s="35"/>
      <c r="O372" s="35">
        <v>0</v>
      </c>
      <c r="P372" s="35"/>
      <c r="Q372" s="35">
        <v>0</v>
      </c>
      <c r="R372" s="35"/>
      <c r="S372" s="35">
        <v>0</v>
      </c>
      <c r="T372" s="35">
        <v>0</v>
      </c>
      <c r="U372" s="35">
        <v>0</v>
      </c>
      <c r="V372" s="35">
        <v>0</v>
      </c>
      <c r="W372" s="62">
        <f>G372</f>
        <v>1097512.2</v>
      </c>
      <c r="X372" s="165">
        <v>2016</v>
      </c>
      <c r="Y372" s="165">
        <v>2016</v>
      </c>
      <c r="Z372" s="176">
        <f t="shared" si="43"/>
        <v>214</v>
      </c>
    </row>
    <row r="373" spans="1:26" s="122" customFormat="1" ht="18" customHeight="1">
      <c r="A373" s="165">
        <f t="shared" si="42"/>
        <v>327</v>
      </c>
      <c r="B373" s="24" t="s">
        <v>603</v>
      </c>
      <c r="C373" s="154">
        <v>1984</v>
      </c>
      <c r="D373" s="60"/>
      <c r="E373" s="87">
        <v>2550.3000000000002</v>
      </c>
      <c r="F373" s="87">
        <v>2115.4</v>
      </c>
      <c r="G373" s="46">
        <f>H373+J373+K373+M373+O373+Q373+S373</f>
        <v>2223868.67</v>
      </c>
      <c r="H373" s="35"/>
      <c r="I373" s="35"/>
      <c r="J373" s="35"/>
      <c r="K373" s="61">
        <v>2223868.67</v>
      </c>
      <c r="L373" s="35">
        <f>K373/F373</f>
        <v>1051.2757256310863</v>
      </c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62">
        <f>G373</f>
        <v>2223868.67</v>
      </c>
      <c r="X373" s="165">
        <v>2016</v>
      </c>
      <c r="Y373" s="165">
        <v>2017</v>
      </c>
      <c r="Z373" s="176">
        <f t="shared" si="43"/>
        <v>215</v>
      </c>
    </row>
    <row r="374" spans="1:26" s="122" customFormat="1" ht="18" customHeight="1">
      <c r="A374" s="165">
        <f t="shared" si="42"/>
        <v>328</v>
      </c>
      <c r="B374" s="59" t="s">
        <v>523</v>
      </c>
      <c r="C374" s="154">
        <v>1987</v>
      </c>
      <c r="D374" s="60"/>
      <c r="E374" s="49">
        <v>3879.7</v>
      </c>
      <c r="F374" s="49">
        <v>3298.3</v>
      </c>
      <c r="G374" s="46">
        <f>H374+J374+K374+M374+O374+Q374+S374</f>
        <v>1651842</v>
      </c>
      <c r="H374" s="35">
        <v>0</v>
      </c>
      <c r="I374" s="35"/>
      <c r="J374" s="35">
        <v>0</v>
      </c>
      <c r="K374" s="61">
        <v>1651842</v>
      </c>
      <c r="L374" s="35">
        <f>K374/F374</f>
        <v>500.81617803110692</v>
      </c>
      <c r="M374" s="35">
        <v>0</v>
      </c>
      <c r="N374" s="35"/>
      <c r="O374" s="35">
        <v>0</v>
      </c>
      <c r="P374" s="35">
        <f>O374/F374</f>
        <v>0</v>
      </c>
      <c r="Q374" s="35">
        <v>0</v>
      </c>
      <c r="R374" s="35"/>
      <c r="S374" s="35">
        <v>0</v>
      </c>
      <c r="T374" s="35">
        <v>0</v>
      </c>
      <c r="U374" s="35">
        <v>0</v>
      </c>
      <c r="V374" s="35">
        <v>0</v>
      </c>
      <c r="W374" s="62">
        <f>G374</f>
        <v>1651842</v>
      </c>
      <c r="X374" s="165">
        <v>2016</v>
      </c>
      <c r="Y374" s="165">
        <v>2016</v>
      </c>
      <c r="Z374" s="176">
        <f t="shared" si="43"/>
        <v>216</v>
      </c>
    </row>
    <row r="375" spans="1:26" s="122" customFormat="1" ht="18" customHeight="1">
      <c r="A375" s="165">
        <f t="shared" si="42"/>
        <v>329</v>
      </c>
      <c r="B375" s="59" t="s">
        <v>524</v>
      </c>
      <c r="C375" s="154">
        <v>1986</v>
      </c>
      <c r="D375" s="60"/>
      <c r="E375" s="49">
        <v>7735.7</v>
      </c>
      <c r="F375" s="49">
        <v>6554.1</v>
      </c>
      <c r="G375" s="46">
        <f>H375+J375+K375+M375+O375+Q375+S375</f>
        <v>3273282</v>
      </c>
      <c r="H375" s="35">
        <v>0</v>
      </c>
      <c r="I375" s="35"/>
      <c r="J375" s="35">
        <v>0</v>
      </c>
      <c r="K375" s="61">
        <v>3273282</v>
      </c>
      <c r="L375" s="35">
        <f>K375/F375</f>
        <v>499.42509269007184</v>
      </c>
      <c r="M375" s="35">
        <v>0</v>
      </c>
      <c r="N375" s="35"/>
      <c r="O375" s="35">
        <v>0</v>
      </c>
      <c r="P375" s="35">
        <f>O375/F375</f>
        <v>0</v>
      </c>
      <c r="Q375" s="35">
        <v>0</v>
      </c>
      <c r="R375" s="35"/>
      <c r="S375" s="35">
        <v>0</v>
      </c>
      <c r="T375" s="35">
        <v>0</v>
      </c>
      <c r="U375" s="35">
        <v>0</v>
      </c>
      <c r="V375" s="35">
        <v>0</v>
      </c>
      <c r="W375" s="62">
        <f>G375</f>
        <v>3273282</v>
      </c>
      <c r="X375" s="165">
        <v>2016</v>
      </c>
      <c r="Y375" s="165">
        <v>2016</v>
      </c>
      <c r="Z375" s="176">
        <f t="shared" si="43"/>
        <v>217</v>
      </c>
    </row>
    <row r="376" spans="1:26" s="122" customFormat="1" ht="18" customHeight="1">
      <c r="A376" s="165">
        <f t="shared" si="42"/>
        <v>330</v>
      </c>
      <c r="B376" s="59" t="s">
        <v>525</v>
      </c>
      <c r="C376" s="154">
        <v>1987</v>
      </c>
      <c r="D376" s="60"/>
      <c r="E376" s="49">
        <v>3335.4</v>
      </c>
      <c r="F376" s="49">
        <v>2838.7</v>
      </c>
      <c r="G376" s="46">
        <f>H376+J376+K376+M376+O376+Q376+S376</f>
        <v>2412592.2599999998</v>
      </c>
      <c r="H376" s="35">
        <v>0</v>
      </c>
      <c r="I376" s="35"/>
      <c r="J376" s="61">
        <v>2412592.2599999998</v>
      </c>
      <c r="K376" s="35">
        <v>0</v>
      </c>
      <c r="L376" s="35">
        <f>K376/F376</f>
        <v>0</v>
      </c>
      <c r="M376" s="35">
        <v>0</v>
      </c>
      <c r="N376" s="35"/>
      <c r="O376" s="35">
        <v>0</v>
      </c>
      <c r="P376" s="35">
        <f>O376/F376</f>
        <v>0</v>
      </c>
      <c r="Q376" s="35">
        <v>0</v>
      </c>
      <c r="R376" s="35"/>
      <c r="S376" s="35">
        <v>0</v>
      </c>
      <c r="T376" s="35">
        <v>0</v>
      </c>
      <c r="U376" s="35">
        <v>0</v>
      </c>
      <c r="V376" s="35">
        <v>0</v>
      </c>
      <c r="W376" s="62">
        <f>G376</f>
        <v>2412592.2599999998</v>
      </c>
      <c r="X376" s="165">
        <v>2016</v>
      </c>
      <c r="Y376" s="165">
        <v>2016</v>
      </c>
      <c r="Z376" s="176">
        <f t="shared" si="43"/>
        <v>218</v>
      </c>
    </row>
    <row r="377" spans="1:26" s="122" customFormat="1" ht="18" customHeight="1">
      <c r="A377" s="165">
        <f t="shared" si="42"/>
        <v>331</v>
      </c>
      <c r="B377" s="59" t="s">
        <v>526</v>
      </c>
      <c r="C377" s="154">
        <v>1985</v>
      </c>
      <c r="D377" s="60"/>
      <c r="E377" s="49">
        <v>3335.4</v>
      </c>
      <c r="F377" s="49">
        <v>2838.7</v>
      </c>
      <c r="G377" s="46">
        <f>H377+J377+K377+M377+O377+Q377+S377</f>
        <v>1672110</v>
      </c>
      <c r="H377" s="35">
        <v>0</v>
      </c>
      <c r="I377" s="35"/>
      <c r="J377" s="35">
        <v>0</v>
      </c>
      <c r="K377" s="61">
        <v>1672110</v>
      </c>
      <c r="L377" s="35">
        <f>K377/F377</f>
        <v>589.04075809349354</v>
      </c>
      <c r="M377" s="35">
        <v>0</v>
      </c>
      <c r="N377" s="35"/>
      <c r="O377" s="35">
        <v>0</v>
      </c>
      <c r="P377" s="35">
        <f>O377/F377</f>
        <v>0</v>
      </c>
      <c r="Q377" s="35">
        <v>0</v>
      </c>
      <c r="R377" s="35"/>
      <c r="S377" s="35">
        <v>0</v>
      </c>
      <c r="T377" s="35">
        <v>0</v>
      </c>
      <c r="U377" s="35">
        <v>0</v>
      </c>
      <c r="V377" s="35">
        <v>0</v>
      </c>
      <c r="W377" s="62">
        <f>G377</f>
        <v>1672110</v>
      </c>
      <c r="X377" s="165">
        <v>2016</v>
      </c>
      <c r="Y377" s="165">
        <v>2016</v>
      </c>
      <c r="Z377" s="176">
        <f t="shared" si="43"/>
        <v>219</v>
      </c>
    </row>
    <row r="378" spans="1:26" s="122" customFormat="1" ht="18" customHeight="1">
      <c r="A378" s="165">
        <f t="shared" si="42"/>
        <v>332</v>
      </c>
      <c r="B378" s="24" t="s">
        <v>503</v>
      </c>
      <c r="C378" s="148">
        <v>1975</v>
      </c>
      <c r="D378" s="51"/>
      <c r="E378" s="49">
        <v>12560.7</v>
      </c>
      <c r="F378" s="49">
        <v>11036.1</v>
      </c>
      <c r="G378" s="46">
        <f>H378+J378+K378+M378+O378+Q378+S378</f>
        <v>1013398.99</v>
      </c>
      <c r="H378" s="35">
        <v>0</v>
      </c>
      <c r="I378" s="35"/>
      <c r="J378" s="35">
        <v>0</v>
      </c>
      <c r="K378" s="35">
        <v>0</v>
      </c>
      <c r="L378" s="35"/>
      <c r="M378" s="35">
        <v>0</v>
      </c>
      <c r="N378" s="35"/>
      <c r="O378" s="61">
        <v>1013398.99</v>
      </c>
      <c r="P378" s="35">
        <f>O378/F378</f>
        <v>91.825825246237343</v>
      </c>
      <c r="Q378" s="35">
        <v>0</v>
      </c>
      <c r="R378" s="35"/>
      <c r="S378" s="35">
        <v>0</v>
      </c>
      <c r="T378" s="35">
        <v>0</v>
      </c>
      <c r="U378" s="35">
        <v>0</v>
      </c>
      <c r="V378" s="35">
        <v>0</v>
      </c>
      <c r="W378" s="46">
        <f>G378</f>
        <v>1013398.99</v>
      </c>
      <c r="X378" s="165">
        <v>2015</v>
      </c>
      <c r="Y378" s="165">
        <v>2016</v>
      </c>
      <c r="Z378" s="176">
        <f t="shared" si="43"/>
        <v>220</v>
      </c>
    </row>
    <row r="379" spans="1:26" s="122" customFormat="1" ht="18" customHeight="1">
      <c r="A379" s="165">
        <f t="shared" si="42"/>
        <v>333</v>
      </c>
      <c r="B379" s="59" t="s">
        <v>219</v>
      </c>
      <c r="C379" s="154">
        <v>1974</v>
      </c>
      <c r="D379" s="60"/>
      <c r="E379" s="49">
        <v>3917.4</v>
      </c>
      <c r="F379" s="49">
        <v>3432.9</v>
      </c>
      <c r="G379" s="46">
        <f>H379+J379+K379+M379+O379+Q379+S379</f>
        <v>3624648</v>
      </c>
      <c r="H379" s="35">
        <v>800000</v>
      </c>
      <c r="I379" s="35">
        <f>H379/F379</f>
        <v>233.03912144251217</v>
      </c>
      <c r="J379" s="35">
        <v>0</v>
      </c>
      <c r="K379" s="61">
        <v>2824648</v>
      </c>
      <c r="L379" s="35">
        <f>K379/F379</f>
        <v>822.81686038043631</v>
      </c>
      <c r="M379" s="35">
        <v>0</v>
      </c>
      <c r="N379" s="35"/>
      <c r="O379" s="35">
        <v>0</v>
      </c>
      <c r="P379" s="35">
        <f>O379/F379</f>
        <v>0</v>
      </c>
      <c r="Q379" s="35">
        <v>0</v>
      </c>
      <c r="R379" s="35"/>
      <c r="S379" s="35">
        <v>0</v>
      </c>
      <c r="T379" s="35">
        <v>0</v>
      </c>
      <c r="U379" s="35">
        <v>0</v>
      </c>
      <c r="V379" s="35">
        <v>0</v>
      </c>
      <c r="W379" s="62">
        <f>G379</f>
        <v>3624648</v>
      </c>
      <c r="X379" s="165">
        <v>2016</v>
      </c>
      <c r="Y379" s="165">
        <v>2016</v>
      </c>
      <c r="Z379" s="176">
        <f t="shared" si="43"/>
        <v>221</v>
      </c>
    </row>
    <row r="380" spans="1:26" s="122" customFormat="1" ht="18" customHeight="1">
      <c r="A380" s="165">
        <f t="shared" si="42"/>
        <v>334</v>
      </c>
      <c r="B380" s="63" t="s">
        <v>546</v>
      </c>
      <c r="C380" s="154">
        <v>1969</v>
      </c>
      <c r="D380" s="60"/>
      <c r="E380" s="49">
        <v>3979.1</v>
      </c>
      <c r="F380" s="49">
        <v>3666.8</v>
      </c>
      <c r="G380" s="46">
        <f>H380+J380+K380+M380+O380+Q380+S380</f>
        <v>1094472</v>
      </c>
      <c r="H380" s="61">
        <v>1094472</v>
      </c>
      <c r="I380" s="35">
        <f>H380/F380</f>
        <v>298.48150976328134</v>
      </c>
      <c r="J380" s="35">
        <v>0</v>
      </c>
      <c r="K380" s="35">
        <v>0</v>
      </c>
      <c r="L380" s="35">
        <f>K380/F380</f>
        <v>0</v>
      </c>
      <c r="M380" s="35">
        <v>0</v>
      </c>
      <c r="N380" s="35"/>
      <c r="O380" s="35">
        <v>0</v>
      </c>
      <c r="P380" s="35">
        <f>O380/F380</f>
        <v>0</v>
      </c>
      <c r="Q380" s="35">
        <v>0</v>
      </c>
      <c r="R380" s="35"/>
      <c r="S380" s="35">
        <v>0</v>
      </c>
      <c r="T380" s="35">
        <v>0</v>
      </c>
      <c r="U380" s="35">
        <v>0</v>
      </c>
      <c r="V380" s="35">
        <v>0</v>
      </c>
      <c r="W380" s="62">
        <f>G380</f>
        <v>1094472</v>
      </c>
      <c r="X380" s="165">
        <v>2016</v>
      </c>
      <c r="Y380" s="165">
        <v>2016</v>
      </c>
      <c r="Z380" s="176">
        <f t="shared" si="43"/>
        <v>222</v>
      </c>
    </row>
    <row r="381" spans="1:26" s="120" customFormat="1" ht="19.5" customHeight="1">
      <c r="A381" s="185" t="s">
        <v>208</v>
      </c>
      <c r="B381" s="185"/>
      <c r="C381" s="148"/>
      <c r="D381" s="165"/>
      <c r="E381" s="28">
        <v>0</v>
      </c>
      <c r="F381" s="28">
        <v>0</v>
      </c>
      <c r="G381" s="19">
        <v>0</v>
      </c>
      <c r="H381" s="28">
        <v>0</v>
      </c>
      <c r="I381" s="28"/>
      <c r="J381" s="28">
        <v>0</v>
      </c>
      <c r="K381" s="28">
        <v>0</v>
      </c>
      <c r="L381" s="28"/>
      <c r="M381" s="28">
        <v>0</v>
      </c>
      <c r="N381" s="28"/>
      <c r="O381" s="28">
        <v>0</v>
      </c>
      <c r="P381" s="28"/>
      <c r="Q381" s="28">
        <v>0</v>
      </c>
      <c r="R381" s="28"/>
      <c r="S381" s="28">
        <v>0</v>
      </c>
      <c r="T381" s="28">
        <v>0</v>
      </c>
      <c r="U381" s="28">
        <v>0</v>
      </c>
      <c r="V381" s="28">
        <v>0</v>
      </c>
      <c r="W381" s="19">
        <v>0</v>
      </c>
      <c r="X381" s="20" t="s">
        <v>447</v>
      </c>
      <c r="Y381" s="20" t="s">
        <v>447</v>
      </c>
      <c r="Z381" s="178"/>
    </row>
    <row r="382" spans="1:26" s="120" customFormat="1" ht="19.5" customHeight="1">
      <c r="A382" s="185" t="s">
        <v>206</v>
      </c>
      <c r="B382" s="185"/>
      <c r="C382" s="152"/>
      <c r="D382" s="163"/>
      <c r="E382" s="29">
        <f>SUM(E330:E351)</f>
        <v>97342.900000000009</v>
      </c>
      <c r="F382" s="29">
        <f>SUM(F330:F351)</f>
        <v>87468.7</v>
      </c>
      <c r="G382" s="19">
        <f t="shared" ref="G382:V382" si="44">SUM(G330:G351)</f>
        <v>35808224.75</v>
      </c>
      <c r="H382" s="28">
        <f t="shared" si="44"/>
        <v>7400000</v>
      </c>
      <c r="I382" s="28"/>
      <c r="J382" s="28">
        <f t="shared" si="44"/>
        <v>3044614.5</v>
      </c>
      <c r="K382" s="28">
        <f t="shared" si="44"/>
        <v>17817452.5</v>
      </c>
      <c r="L382" s="28"/>
      <c r="M382" s="28">
        <f t="shared" si="44"/>
        <v>0</v>
      </c>
      <c r="N382" s="28"/>
      <c r="O382" s="28">
        <f t="shared" si="44"/>
        <v>7546157.75</v>
      </c>
      <c r="P382" s="28"/>
      <c r="Q382" s="28">
        <f t="shared" si="44"/>
        <v>0</v>
      </c>
      <c r="R382" s="28"/>
      <c r="S382" s="28">
        <f t="shared" si="44"/>
        <v>0</v>
      </c>
      <c r="T382" s="28">
        <f t="shared" si="44"/>
        <v>5555192.6400000006</v>
      </c>
      <c r="U382" s="28">
        <f t="shared" si="44"/>
        <v>0</v>
      </c>
      <c r="V382" s="28">
        <f t="shared" si="44"/>
        <v>6861421.3600000003</v>
      </c>
      <c r="W382" s="19">
        <f>SUM(W330:W351)</f>
        <v>23391610.75</v>
      </c>
      <c r="X382" s="20" t="s">
        <v>447</v>
      </c>
      <c r="Y382" s="20" t="s">
        <v>447</v>
      </c>
      <c r="Z382" s="178"/>
    </row>
    <row r="383" spans="1:26" s="120" customFormat="1" ht="19.5" customHeight="1">
      <c r="A383" s="185" t="s">
        <v>207</v>
      </c>
      <c r="B383" s="185"/>
      <c r="C383" s="154"/>
      <c r="D383" s="60"/>
      <c r="E383" s="64">
        <f>SUM(E352:E380)</f>
        <v>134687.59999999998</v>
      </c>
      <c r="F383" s="64">
        <f>SUM(F352:F380)</f>
        <v>118570.4</v>
      </c>
      <c r="G383" s="19">
        <f>SUM(G352:G380)</f>
        <v>41351910.589999996</v>
      </c>
      <c r="H383" s="65">
        <f t="shared" ref="H383:V383" si="45">SUM(H352:H380)</f>
        <v>14435296.999999998</v>
      </c>
      <c r="I383" s="65"/>
      <c r="J383" s="28">
        <f t="shared" si="45"/>
        <v>5347297.32</v>
      </c>
      <c r="K383" s="65">
        <f t="shared" si="45"/>
        <v>14418614.67</v>
      </c>
      <c r="L383" s="65"/>
      <c r="M383" s="28">
        <f t="shared" si="45"/>
        <v>0</v>
      </c>
      <c r="N383" s="65"/>
      <c r="O383" s="65">
        <f t="shared" si="45"/>
        <v>7150701.6000000006</v>
      </c>
      <c r="P383" s="65"/>
      <c r="Q383" s="28">
        <f t="shared" si="45"/>
        <v>0</v>
      </c>
      <c r="R383" s="28"/>
      <c r="S383" s="28">
        <f t="shared" si="45"/>
        <v>0</v>
      </c>
      <c r="T383" s="28">
        <f t="shared" si="45"/>
        <v>0</v>
      </c>
      <c r="U383" s="28">
        <f t="shared" si="45"/>
        <v>0</v>
      </c>
      <c r="V383" s="28">
        <f t="shared" si="45"/>
        <v>0</v>
      </c>
      <c r="W383" s="19">
        <f>SUM(W352:W380)</f>
        <v>41351910.589999996</v>
      </c>
      <c r="X383" s="20" t="s">
        <v>447</v>
      </c>
      <c r="Y383" s="20" t="s">
        <v>447</v>
      </c>
      <c r="Z383" s="178"/>
    </row>
    <row r="384" spans="1:26" s="120" customFormat="1" ht="17.25" customHeight="1">
      <c r="A384" s="187" t="s">
        <v>244</v>
      </c>
      <c r="B384" s="187"/>
      <c r="C384" s="187"/>
      <c r="D384" s="187"/>
      <c r="E384" s="187"/>
      <c r="F384" s="187"/>
      <c r="G384" s="187"/>
      <c r="H384" s="187"/>
      <c r="I384" s="187"/>
      <c r="J384" s="187"/>
      <c r="K384" s="187"/>
      <c r="L384" s="187"/>
      <c r="M384" s="187"/>
      <c r="N384" s="187"/>
      <c r="O384" s="187"/>
      <c r="P384" s="187"/>
      <c r="Q384" s="187"/>
      <c r="R384" s="187"/>
      <c r="S384" s="187"/>
      <c r="T384" s="187"/>
      <c r="U384" s="187"/>
      <c r="V384" s="187"/>
      <c r="W384" s="187"/>
      <c r="X384" s="163"/>
      <c r="Y384" s="163"/>
      <c r="Z384" s="178"/>
    </row>
    <row r="385" spans="1:26" s="120" customFormat="1" ht="18" customHeight="1">
      <c r="A385" s="66">
        <f>A380+1</f>
        <v>335</v>
      </c>
      <c r="B385" s="67" t="s">
        <v>245</v>
      </c>
      <c r="C385" s="155">
        <v>1990</v>
      </c>
      <c r="D385" s="68"/>
      <c r="E385" s="69">
        <v>2407.9</v>
      </c>
      <c r="F385" s="70">
        <v>2121.5</v>
      </c>
      <c r="G385" s="46">
        <f>H385+J385+K385+M385+O385+Q385+S385</f>
        <v>1970152.19</v>
      </c>
      <c r="H385" s="35">
        <v>0</v>
      </c>
      <c r="I385" s="35"/>
      <c r="J385" s="35">
        <v>0</v>
      </c>
      <c r="K385" s="71">
        <v>1970152.19</v>
      </c>
      <c r="L385" s="35">
        <f>K385/F385</f>
        <v>928.66</v>
      </c>
      <c r="M385" s="35">
        <v>0</v>
      </c>
      <c r="N385" s="35"/>
      <c r="O385" s="35">
        <v>0</v>
      </c>
      <c r="P385" s="35"/>
      <c r="Q385" s="35">
        <v>0</v>
      </c>
      <c r="R385" s="35"/>
      <c r="S385" s="35">
        <v>0</v>
      </c>
      <c r="T385" s="35">
        <v>0</v>
      </c>
      <c r="U385" s="35">
        <v>0</v>
      </c>
      <c r="V385" s="35">
        <v>0</v>
      </c>
      <c r="W385" s="72">
        <f>G385</f>
        <v>1970152.19</v>
      </c>
      <c r="X385" s="165">
        <v>2016</v>
      </c>
      <c r="Y385" s="165">
        <v>2016</v>
      </c>
      <c r="Z385" s="178">
        <f>Z380+1</f>
        <v>223</v>
      </c>
    </row>
    <row r="386" spans="1:26" s="120" customFormat="1" ht="18" customHeight="1">
      <c r="A386" s="66">
        <f>A385+1</f>
        <v>336</v>
      </c>
      <c r="B386" s="67" t="s">
        <v>246</v>
      </c>
      <c r="C386" s="155">
        <v>1991</v>
      </c>
      <c r="D386" s="68"/>
      <c r="E386" s="69">
        <v>3710.4</v>
      </c>
      <c r="F386" s="70">
        <v>3322.9</v>
      </c>
      <c r="G386" s="46">
        <f>H386+J386+K386+M386+O386+Q386+S386</f>
        <v>1645799.14</v>
      </c>
      <c r="H386" s="71">
        <v>1645799.14</v>
      </c>
      <c r="I386" s="71">
        <f>H386/F386</f>
        <v>495.289999699058</v>
      </c>
      <c r="J386" s="35">
        <v>0</v>
      </c>
      <c r="K386" s="35">
        <v>0</v>
      </c>
      <c r="L386" s="35">
        <f>K386/F386</f>
        <v>0</v>
      </c>
      <c r="M386" s="35">
        <v>0</v>
      </c>
      <c r="N386" s="35"/>
      <c r="O386" s="35">
        <v>0</v>
      </c>
      <c r="P386" s="35"/>
      <c r="Q386" s="35">
        <v>0</v>
      </c>
      <c r="R386" s="35"/>
      <c r="S386" s="35">
        <v>0</v>
      </c>
      <c r="T386" s="35">
        <v>0</v>
      </c>
      <c r="U386" s="35">
        <v>0</v>
      </c>
      <c r="V386" s="35">
        <v>0</v>
      </c>
      <c r="W386" s="72">
        <f>G386</f>
        <v>1645799.14</v>
      </c>
      <c r="X386" s="165">
        <v>2016</v>
      </c>
      <c r="Y386" s="165">
        <v>2016</v>
      </c>
      <c r="Z386" s="178">
        <f>Z385+1</f>
        <v>224</v>
      </c>
    </row>
    <row r="387" spans="1:26" s="120" customFormat="1" ht="19.5" customHeight="1">
      <c r="A387" s="185" t="s">
        <v>208</v>
      </c>
      <c r="B387" s="185"/>
      <c r="C387" s="148"/>
      <c r="D387" s="165"/>
      <c r="E387" s="28">
        <v>0</v>
      </c>
      <c r="F387" s="28">
        <v>0</v>
      </c>
      <c r="G387" s="19">
        <v>0</v>
      </c>
      <c r="H387" s="28">
        <v>0</v>
      </c>
      <c r="I387" s="28"/>
      <c r="J387" s="28">
        <v>0</v>
      </c>
      <c r="K387" s="28">
        <v>0</v>
      </c>
      <c r="L387" s="28"/>
      <c r="M387" s="28">
        <v>0</v>
      </c>
      <c r="N387" s="28"/>
      <c r="O387" s="28">
        <v>0</v>
      </c>
      <c r="P387" s="28"/>
      <c r="Q387" s="28">
        <v>0</v>
      </c>
      <c r="R387" s="28"/>
      <c r="S387" s="28">
        <v>0</v>
      </c>
      <c r="T387" s="28">
        <v>0</v>
      </c>
      <c r="U387" s="28">
        <v>0</v>
      </c>
      <c r="V387" s="28">
        <v>0</v>
      </c>
      <c r="W387" s="19">
        <v>0</v>
      </c>
      <c r="X387" s="20" t="s">
        <v>447</v>
      </c>
      <c r="Y387" s="20" t="s">
        <v>447</v>
      </c>
      <c r="Z387" s="178"/>
    </row>
    <row r="388" spans="1:26" s="120" customFormat="1" ht="19.5" customHeight="1">
      <c r="A388" s="185" t="s">
        <v>206</v>
      </c>
      <c r="B388" s="185"/>
      <c r="C388" s="152"/>
      <c r="D388" s="163"/>
      <c r="E388" s="28">
        <v>0</v>
      </c>
      <c r="F388" s="28">
        <v>0</v>
      </c>
      <c r="G388" s="19">
        <v>0</v>
      </c>
      <c r="H388" s="28">
        <v>0</v>
      </c>
      <c r="I388" s="28"/>
      <c r="J388" s="28">
        <v>0</v>
      </c>
      <c r="K388" s="28">
        <v>0</v>
      </c>
      <c r="L388" s="28"/>
      <c r="M388" s="28">
        <v>0</v>
      </c>
      <c r="N388" s="28"/>
      <c r="O388" s="28">
        <v>0</v>
      </c>
      <c r="P388" s="28"/>
      <c r="Q388" s="28">
        <v>0</v>
      </c>
      <c r="R388" s="28"/>
      <c r="S388" s="28">
        <v>0</v>
      </c>
      <c r="T388" s="28">
        <v>0</v>
      </c>
      <c r="U388" s="28">
        <v>0</v>
      </c>
      <c r="V388" s="28">
        <v>0</v>
      </c>
      <c r="W388" s="19">
        <v>0</v>
      </c>
      <c r="X388" s="20" t="s">
        <v>447</v>
      </c>
      <c r="Y388" s="20" t="s">
        <v>447</v>
      </c>
      <c r="Z388" s="178"/>
    </row>
    <row r="389" spans="1:26" s="120" customFormat="1" ht="19.5" customHeight="1">
      <c r="A389" s="185" t="s">
        <v>207</v>
      </c>
      <c r="B389" s="185"/>
      <c r="C389" s="154"/>
      <c r="D389" s="60"/>
      <c r="E389" s="29">
        <f>SUM(E385:E386)</f>
        <v>6118.3</v>
      </c>
      <c r="F389" s="29">
        <f>SUM(F385:F386)</f>
        <v>5444.4</v>
      </c>
      <c r="G389" s="19">
        <f t="shared" ref="G389:W389" si="46">SUM(G385:G386)</f>
        <v>3615951.33</v>
      </c>
      <c r="H389" s="28">
        <f t="shared" si="46"/>
        <v>1645799.14</v>
      </c>
      <c r="I389" s="28"/>
      <c r="J389" s="28">
        <f t="shared" si="46"/>
        <v>0</v>
      </c>
      <c r="K389" s="28">
        <f t="shared" si="46"/>
        <v>1970152.19</v>
      </c>
      <c r="L389" s="28"/>
      <c r="M389" s="28">
        <f t="shared" si="46"/>
        <v>0</v>
      </c>
      <c r="N389" s="28"/>
      <c r="O389" s="28">
        <f t="shared" si="46"/>
        <v>0</v>
      </c>
      <c r="P389" s="28"/>
      <c r="Q389" s="28">
        <f t="shared" si="46"/>
        <v>0</v>
      </c>
      <c r="R389" s="28"/>
      <c r="S389" s="28">
        <f t="shared" si="46"/>
        <v>0</v>
      </c>
      <c r="T389" s="28">
        <f t="shared" si="46"/>
        <v>0</v>
      </c>
      <c r="U389" s="28">
        <f t="shared" si="46"/>
        <v>0</v>
      </c>
      <c r="V389" s="28">
        <f t="shared" si="46"/>
        <v>0</v>
      </c>
      <c r="W389" s="19">
        <f t="shared" si="46"/>
        <v>3615951.33</v>
      </c>
      <c r="X389" s="20" t="s">
        <v>447</v>
      </c>
      <c r="Y389" s="20" t="s">
        <v>447</v>
      </c>
      <c r="Z389" s="178"/>
    </row>
    <row r="390" spans="1:26" s="120" customFormat="1" ht="17.25" customHeight="1">
      <c r="A390" s="187" t="s">
        <v>249</v>
      </c>
      <c r="B390" s="187"/>
      <c r="C390" s="187"/>
      <c r="D390" s="187"/>
      <c r="E390" s="187"/>
      <c r="F390" s="187"/>
      <c r="G390" s="187"/>
      <c r="H390" s="187"/>
      <c r="I390" s="187"/>
      <c r="J390" s="187"/>
      <c r="K390" s="187"/>
      <c r="L390" s="187"/>
      <c r="M390" s="187"/>
      <c r="N390" s="187"/>
      <c r="O390" s="187"/>
      <c r="P390" s="187"/>
      <c r="Q390" s="187"/>
      <c r="R390" s="187"/>
      <c r="S390" s="187"/>
      <c r="T390" s="187"/>
      <c r="U390" s="187"/>
      <c r="V390" s="187"/>
      <c r="W390" s="187"/>
      <c r="X390" s="163"/>
      <c r="Y390" s="163"/>
      <c r="Z390" s="178"/>
    </row>
    <row r="391" spans="1:26" s="120" customFormat="1" ht="18" customHeight="1">
      <c r="A391" s="68">
        <f>A386+1</f>
        <v>337</v>
      </c>
      <c r="B391" s="73" t="s">
        <v>247</v>
      </c>
      <c r="C391" s="155">
        <v>1982</v>
      </c>
      <c r="D391" s="68"/>
      <c r="E391" s="74">
        <v>3998.5</v>
      </c>
      <c r="F391" s="134">
        <v>3393.3</v>
      </c>
      <c r="G391" s="46">
        <f>H391+J391+K391+M391+O391+Q391+S391</f>
        <v>4021580.94</v>
      </c>
      <c r="H391" s="35">
        <v>0</v>
      </c>
      <c r="I391" s="35"/>
      <c r="J391" s="75">
        <v>4021580.94</v>
      </c>
      <c r="K391" s="35">
        <v>0</v>
      </c>
      <c r="L391" s="35"/>
      <c r="M391" s="35">
        <v>0</v>
      </c>
      <c r="N391" s="35"/>
      <c r="O391" s="35">
        <v>0</v>
      </c>
      <c r="P391" s="35"/>
      <c r="Q391" s="35">
        <v>0</v>
      </c>
      <c r="R391" s="35"/>
      <c r="S391" s="35">
        <v>0</v>
      </c>
      <c r="T391" s="35">
        <v>0</v>
      </c>
      <c r="U391" s="35">
        <v>0</v>
      </c>
      <c r="V391" s="35">
        <v>0</v>
      </c>
      <c r="W391" s="76">
        <f>G391</f>
        <v>4021580.94</v>
      </c>
      <c r="X391" s="165">
        <v>2016</v>
      </c>
      <c r="Y391" s="165">
        <v>2016</v>
      </c>
      <c r="Z391" s="178">
        <f>Z386+1</f>
        <v>225</v>
      </c>
    </row>
    <row r="392" spans="1:26" s="120" customFormat="1" ht="18" customHeight="1">
      <c r="A392" s="68">
        <f>A391+1</f>
        <v>338</v>
      </c>
      <c r="B392" s="77" t="s">
        <v>248</v>
      </c>
      <c r="C392" s="155">
        <v>1987</v>
      </c>
      <c r="D392" s="68"/>
      <c r="E392" s="74">
        <v>3323</v>
      </c>
      <c r="F392" s="134">
        <v>2978.8</v>
      </c>
      <c r="G392" s="46">
        <f>H392+J392+K392+M392+O392+Q392+S392</f>
        <v>2766292.41</v>
      </c>
      <c r="H392" s="35">
        <v>0</v>
      </c>
      <c r="I392" s="35"/>
      <c r="J392" s="35">
        <v>0</v>
      </c>
      <c r="K392" s="61">
        <v>2766292.41</v>
      </c>
      <c r="L392" s="35">
        <f>K392/F392</f>
        <v>928.66000067141135</v>
      </c>
      <c r="M392" s="35">
        <v>0</v>
      </c>
      <c r="N392" s="35"/>
      <c r="O392" s="35">
        <v>0</v>
      </c>
      <c r="P392" s="35"/>
      <c r="Q392" s="35">
        <v>0</v>
      </c>
      <c r="R392" s="35"/>
      <c r="S392" s="35">
        <v>0</v>
      </c>
      <c r="T392" s="35">
        <v>0</v>
      </c>
      <c r="U392" s="35">
        <v>0</v>
      </c>
      <c r="V392" s="35">
        <v>0</v>
      </c>
      <c r="W392" s="76">
        <f>G392</f>
        <v>2766292.41</v>
      </c>
      <c r="X392" s="165">
        <v>2016</v>
      </c>
      <c r="Y392" s="165">
        <v>2016</v>
      </c>
      <c r="Z392" s="178">
        <f>Z391+1</f>
        <v>226</v>
      </c>
    </row>
    <row r="393" spans="1:26" s="120" customFormat="1" ht="19.5" customHeight="1">
      <c r="A393" s="185" t="s">
        <v>208</v>
      </c>
      <c r="B393" s="185"/>
      <c r="C393" s="148"/>
      <c r="D393" s="165"/>
      <c r="E393" s="28">
        <v>0</v>
      </c>
      <c r="F393" s="28">
        <v>0</v>
      </c>
      <c r="G393" s="19">
        <v>0</v>
      </c>
      <c r="H393" s="28">
        <v>0</v>
      </c>
      <c r="I393" s="28"/>
      <c r="J393" s="28">
        <v>0</v>
      </c>
      <c r="K393" s="28">
        <v>0</v>
      </c>
      <c r="L393" s="28"/>
      <c r="M393" s="28">
        <v>0</v>
      </c>
      <c r="N393" s="28"/>
      <c r="O393" s="28">
        <v>0</v>
      </c>
      <c r="P393" s="28"/>
      <c r="Q393" s="28">
        <v>0</v>
      </c>
      <c r="R393" s="28"/>
      <c r="S393" s="28">
        <v>0</v>
      </c>
      <c r="T393" s="28">
        <v>0</v>
      </c>
      <c r="U393" s="28">
        <v>0</v>
      </c>
      <c r="V393" s="28">
        <v>0</v>
      </c>
      <c r="W393" s="19">
        <v>0</v>
      </c>
      <c r="X393" s="20" t="s">
        <v>447</v>
      </c>
      <c r="Y393" s="20" t="s">
        <v>447</v>
      </c>
      <c r="Z393" s="178"/>
    </row>
    <row r="394" spans="1:26" s="120" customFormat="1" ht="19.5" customHeight="1">
      <c r="A394" s="185" t="s">
        <v>206</v>
      </c>
      <c r="B394" s="185"/>
      <c r="C394" s="152"/>
      <c r="D394" s="163"/>
      <c r="E394" s="28">
        <v>0</v>
      </c>
      <c r="F394" s="28">
        <v>0</v>
      </c>
      <c r="G394" s="19">
        <v>0</v>
      </c>
      <c r="H394" s="28">
        <v>0</v>
      </c>
      <c r="I394" s="28"/>
      <c r="J394" s="28">
        <v>0</v>
      </c>
      <c r="K394" s="28">
        <v>0</v>
      </c>
      <c r="L394" s="28"/>
      <c r="M394" s="28">
        <v>0</v>
      </c>
      <c r="N394" s="28"/>
      <c r="O394" s="28">
        <v>0</v>
      </c>
      <c r="P394" s="28"/>
      <c r="Q394" s="28">
        <v>0</v>
      </c>
      <c r="R394" s="28"/>
      <c r="S394" s="28">
        <v>0</v>
      </c>
      <c r="T394" s="28">
        <v>0</v>
      </c>
      <c r="U394" s="28">
        <v>0</v>
      </c>
      <c r="V394" s="28">
        <v>0</v>
      </c>
      <c r="W394" s="19">
        <v>0</v>
      </c>
      <c r="X394" s="20" t="s">
        <v>447</v>
      </c>
      <c r="Y394" s="20" t="s">
        <v>447</v>
      </c>
      <c r="Z394" s="178"/>
    </row>
    <row r="395" spans="1:26" s="120" customFormat="1" ht="19.5" customHeight="1">
      <c r="A395" s="185" t="s">
        <v>207</v>
      </c>
      <c r="B395" s="185"/>
      <c r="C395" s="154"/>
      <c r="D395" s="60"/>
      <c r="E395" s="29">
        <f>SUM(E391:E392)</f>
        <v>7321.5</v>
      </c>
      <c r="F395" s="29">
        <f>SUM(F391:F392)</f>
        <v>6372.1</v>
      </c>
      <c r="G395" s="19">
        <f>SUM(G391:G392)</f>
        <v>6787873.3499999996</v>
      </c>
      <c r="H395" s="28">
        <f>SUM(H391:H392)</f>
        <v>0</v>
      </c>
      <c r="I395" s="28"/>
      <c r="J395" s="28">
        <f>SUM(J391:J392)</f>
        <v>4021580.94</v>
      </c>
      <c r="K395" s="28">
        <f>SUM(K391:K392)</f>
        <v>2766292.41</v>
      </c>
      <c r="L395" s="28"/>
      <c r="M395" s="28">
        <f>SUM(M391:M392)</f>
        <v>0</v>
      </c>
      <c r="N395" s="28"/>
      <c r="O395" s="28">
        <f>SUM(O391:O392)</f>
        <v>0</v>
      </c>
      <c r="P395" s="28"/>
      <c r="Q395" s="28">
        <f>SUM(Q391:Q392)</f>
        <v>0</v>
      </c>
      <c r="R395" s="28"/>
      <c r="S395" s="28">
        <f>SUM(S391:S392)</f>
        <v>0</v>
      </c>
      <c r="T395" s="28">
        <f>SUM(T391:T392)</f>
        <v>0</v>
      </c>
      <c r="U395" s="28">
        <f>SUM(U391:U392)</f>
        <v>0</v>
      </c>
      <c r="V395" s="28">
        <f>SUM(V391:V392)</f>
        <v>0</v>
      </c>
      <c r="W395" s="19">
        <f>SUM(W391:W392)</f>
        <v>6787873.3499999996</v>
      </c>
      <c r="X395" s="20" t="s">
        <v>447</v>
      </c>
      <c r="Y395" s="20" t="s">
        <v>447</v>
      </c>
      <c r="Z395" s="178"/>
    </row>
    <row r="396" spans="1:26" s="120" customFormat="1" ht="17.25" customHeight="1">
      <c r="A396" s="187" t="s">
        <v>253</v>
      </c>
      <c r="B396" s="187"/>
      <c r="C396" s="187"/>
      <c r="D396" s="187"/>
      <c r="E396" s="187"/>
      <c r="F396" s="187"/>
      <c r="G396" s="187"/>
      <c r="H396" s="187"/>
      <c r="I396" s="187"/>
      <c r="J396" s="187"/>
      <c r="K396" s="187"/>
      <c r="L396" s="187"/>
      <c r="M396" s="187"/>
      <c r="N396" s="187"/>
      <c r="O396" s="187"/>
      <c r="P396" s="187"/>
      <c r="Q396" s="187"/>
      <c r="R396" s="187"/>
      <c r="S396" s="187"/>
      <c r="T396" s="187"/>
      <c r="U396" s="187"/>
      <c r="V396" s="187"/>
      <c r="W396" s="187"/>
      <c r="X396" s="163"/>
      <c r="Y396" s="163"/>
      <c r="Z396" s="178"/>
    </row>
    <row r="397" spans="1:26" s="120" customFormat="1" ht="18" customHeight="1">
      <c r="A397" s="68">
        <f>A392+1</f>
        <v>339</v>
      </c>
      <c r="B397" s="24" t="s">
        <v>357</v>
      </c>
      <c r="C397" s="155">
        <v>1964</v>
      </c>
      <c r="D397" s="68"/>
      <c r="E397" s="70">
        <v>3598.2</v>
      </c>
      <c r="F397" s="70">
        <f>2406.7+805.8</f>
        <v>3212.5</v>
      </c>
      <c r="G397" s="46">
        <f>H397+J397+K397+M397+O397+Q397+S397</f>
        <v>2049061</v>
      </c>
      <c r="H397" s="78">
        <f>F397*(360.93+276.91)</f>
        <v>2049061</v>
      </c>
      <c r="I397" s="35">
        <f>H397/F397</f>
        <v>637.84</v>
      </c>
      <c r="J397" s="35">
        <v>0</v>
      </c>
      <c r="K397" s="35">
        <v>0</v>
      </c>
      <c r="L397" s="35"/>
      <c r="M397" s="35">
        <v>0</v>
      </c>
      <c r="N397" s="35"/>
      <c r="O397" s="35">
        <v>0</v>
      </c>
      <c r="P397" s="35"/>
      <c r="Q397" s="35">
        <v>0</v>
      </c>
      <c r="R397" s="35"/>
      <c r="S397" s="35">
        <v>0</v>
      </c>
      <c r="T397" s="35">
        <v>0</v>
      </c>
      <c r="U397" s="35">
        <v>0</v>
      </c>
      <c r="V397" s="35">
        <f>H397-W397</f>
        <v>1295562.75</v>
      </c>
      <c r="W397" s="135">
        <v>753498.25</v>
      </c>
      <c r="X397" s="165">
        <v>2016</v>
      </c>
      <c r="Y397" s="165">
        <v>2016</v>
      </c>
      <c r="Z397" s="178">
        <f>Z392+1</f>
        <v>227</v>
      </c>
    </row>
    <row r="398" spans="1:26" s="120" customFormat="1" ht="18" customHeight="1">
      <c r="A398" s="68">
        <f>A397+1</f>
        <v>340</v>
      </c>
      <c r="B398" s="24" t="s">
        <v>358</v>
      </c>
      <c r="C398" s="155">
        <v>1968</v>
      </c>
      <c r="D398" s="68"/>
      <c r="E398" s="70">
        <v>5939.7</v>
      </c>
      <c r="F398" s="70">
        <f>4709.2+725.7</f>
        <v>5434.9</v>
      </c>
      <c r="G398" s="46">
        <f>H398+J398+K398+M398+O398+Q398+S398</f>
        <v>3466596.6159999999</v>
      </c>
      <c r="H398" s="78">
        <f>F398*(360.93+276.91)</f>
        <v>3466596.6159999999</v>
      </c>
      <c r="I398" s="35">
        <f>H398/F398</f>
        <v>637.84</v>
      </c>
      <c r="J398" s="35">
        <v>0</v>
      </c>
      <c r="K398" s="35">
        <v>0</v>
      </c>
      <c r="L398" s="35"/>
      <c r="M398" s="35">
        <v>0</v>
      </c>
      <c r="N398" s="35"/>
      <c r="O398" s="35">
        <v>0</v>
      </c>
      <c r="P398" s="35"/>
      <c r="Q398" s="35">
        <v>0</v>
      </c>
      <c r="R398" s="35"/>
      <c r="S398" s="35">
        <v>0</v>
      </c>
      <c r="T398" s="35">
        <v>0</v>
      </c>
      <c r="U398" s="35">
        <v>0</v>
      </c>
      <c r="V398" s="35">
        <f>H398-W398</f>
        <v>2191830.0259999996</v>
      </c>
      <c r="W398" s="135">
        <v>1274766.5900000001</v>
      </c>
      <c r="X398" s="165">
        <v>2016</v>
      </c>
      <c r="Y398" s="165">
        <v>2016</v>
      </c>
      <c r="Z398" s="178">
        <f>Z397+1</f>
        <v>228</v>
      </c>
    </row>
    <row r="399" spans="1:26" s="120" customFormat="1" ht="19.5" customHeight="1">
      <c r="A399" s="185" t="s">
        <v>208</v>
      </c>
      <c r="B399" s="185"/>
      <c r="C399" s="148"/>
      <c r="D399" s="165"/>
      <c r="E399" s="28">
        <v>0</v>
      </c>
      <c r="F399" s="28">
        <v>0</v>
      </c>
      <c r="G399" s="19">
        <v>0</v>
      </c>
      <c r="H399" s="28">
        <v>0</v>
      </c>
      <c r="I399" s="28"/>
      <c r="J399" s="28">
        <v>0</v>
      </c>
      <c r="K399" s="28">
        <v>0</v>
      </c>
      <c r="L399" s="28"/>
      <c r="M399" s="28">
        <v>0</v>
      </c>
      <c r="N399" s="28"/>
      <c r="O399" s="28">
        <v>0</v>
      </c>
      <c r="P399" s="28"/>
      <c r="Q399" s="28">
        <v>0</v>
      </c>
      <c r="R399" s="28"/>
      <c r="S399" s="28">
        <v>0</v>
      </c>
      <c r="T399" s="28">
        <v>0</v>
      </c>
      <c r="U399" s="28">
        <v>0</v>
      </c>
      <c r="V399" s="28">
        <v>0</v>
      </c>
      <c r="W399" s="19">
        <v>0</v>
      </c>
      <c r="X399" s="20" t="s">
        <v>447</v>
      </c>
      <c r="Y399" s="20" t="s">
        <v>447</v>
      </c>
      <c r="Z399" s="178"/>
    </row>
    <row r="400" spans="1:26" s="120" customFormat="1" ht="19.5" customHeight="1">
      <c r="A400" s="185" t="s">
        <v>206</v>
      </c>
      <c r="B400" s="185"/>
      <c r="C400" s="152"/>
      <c r="D400" s="163"/>
      <c r="E400" s="28">
        <v>0</v>
      </c>
      <c r="F400" s="28">
        <v>0</v>
      </c>
      <c r="G400" s="19">
        <v>0</v>
      </c>
      <c r="H400" s="28">
        <v>0</v>
      </c>
      <c r="I400" s="28"/>
      <c r="J400" s="28">
        <v>0</v>
      </c>
      <c r="K400" s="28">
        <v>0</v>
      </c>
      <c r="L400" s="28"/>
      <c r="M400" s="28">
        <v>0</v>
      </c>
      <c r="N400" s="28"/>
      <c r="O400" s="28">
        <v>0</v>
      </c>
      <c r="P400" s="28"/>
      <c r="Q400" s="28">
        <v>0</v>
      </c>
      <c r="R400" s="28"/>
      <c r="S400" s="28">
        <v>0</v>
      </c>
      <c r="T400" s="28">
        <v>0</v>
      </c>
      <c r="U400" s="28">
        <v>0</v>
      </c>
      <c r="V400" s="28">
        <v>0</v>
      </c>
      <c r="W400" s="19">
        <v>0</v>
      </c>
      <c r="X400" s="20" t="s">
        <v>447</v>
      </c>
      <c r="Y400" s="20" t="s">
        <v>447</v>
      </c>
      <c r="Z400" s="178"/>
    </row>
    <row r="401" spans="1:26" s="120" customFormat="1" ht="19.5" customHeight="1">
      <c r="A401" s="185" t="s">
        <v>207</v>
      </c>
      <c r="B401" s="185"/>
      <c r="C401" s="154"/>
      <c r="D401" s="60"/>
      <c r="E401" s="29">
        <f>SUM(E397:E398)</f>
        <v>9537.9</v>
      </c>
      <c r="F401" s="29">
        <f>SUM(F397:F398)</f>
        <v>8647.4</v>
      </c>
      <c r="G401" s="19">
        <f t="shared" ref="G401:W401" si="47">SUM(G397:G398)</f>
        <v>5515657.6160000004</v>
      </c>
      <c r="H401" s="28">
        <f t="shared" si="47"/>
        <v>5515657.6160000004</v>
      </c>
      <c r="I401" s="28"/>
      <c r="J401" s="28">
        <f t="shared" si="47"/>
        <v>0</v>
      </c>
      <c r="K401" s="28">
        <f t="shared" si="47"/>
        <v>0</v>
      </c>
      <c r="L401" s="28"/>
      <c r="M401" s="28">
        <f t="shared" si="47"/>
        <v>0</v>
      </c>
      <c r="N401" s="28"/>
      <c r="O401" s="28">
        <f t="shared" si="47"/>
        <v>0</v>
      </c>
      <c r="P401" s="28"/>
      <c r="Q401" s="28">
        <f t="shared" si="47"/>
        <v>0</v>
      </c>
      <c r="R401" s="28"/>
      <c r="S401" s="28">
        <f t="shared" si="47"/>
        <v>0</v>
      </c>
      <c r="T401" s="28">
        <f t="shared" si="47"/>
        <v>0</v>
      </c>
      <c r="U401" s="28">
        <f t="shared" si="47"/>
        <v>0</v>
      </c>
      <c r="V401" s="28">
        <f t="shared" si="47"/>
        <v>3487392.7759999996</v>
      </c>
      <c r="W401" s="19">
        <f t="shared" si="47"/>
        <v>2028264.84</v>
      </c>
      <c r="X401" s="20" t="s">
        <v>447</v>
      </c>
      <c r="Y401" s="20" t="s">
        <v>447</v>
      </c>
      <c r="Z401" s="178"/>
    </row>
    <row r="402" spans="1:26" s="120" customFormat="1" ht="17.25" customHeight="1">
      <c r="A402" s="187" t="s">
        <v>116</v>
      </c>
      <c r="B402" s="187"/>
      <c r="C402" s="187"/>
      <c r="D402" s="187"/>
      <c r="E402" s="187"/>
      <c r="F402" s="187"/>
      <c r="G402" s="187"/>
      <c r="H402" s="187"/>
      <c r="I402" s="187"/>
      <c r="J402" s="187"/>
      <c r="K402" s="187"/>
      <c r="L402" s="187"/>
      <c r="M402" s="187"/>
      <c r="N402" s="187"/>
      <c r="O402" s="187"/>
      <c r="P402" s="187"/>
      <c r="Q402" s="187"/>
      <c r="R402" s="187"/>
      <c r="S402" s="187"/>
      <c r="T402" s="187"/>
      <c r="U402" s="187"/>
      <c r="V402" s="187"/>
      <c r="W402" s="187"/>
      <c r="X402" s="163"/>
      <c r="Y402" s="163"/>
      <c r="Z402" s="178"/>
    </row>
    <row r="403" spans="1:26" s="122" customFormat="1" ht="18" customHeight="1">
      <c r="A403" s="165">
        <f>A398+1</f>
        <v>341</v>
      </c>
      <c r="B403" s="24" t="s">
        <v>125</v>
      </c>
      <c r="C403" s="148" t="s">
        <v>60</v>
      </c>
      <c r="D403" s="165"/>
      <c r="E403" s="49">
        <v>3571.4</v>
      </c>
      <c r="F403" s="49">
        <v>2148.1999999999998</v>
      </c>
      <c r="G403" s="46">
        <f>SUM(H403:S403)</f>
        <v>181728.83</v>
      </c>
      <c r="H403" s="35">
        <v>181728.83</v>
      </c>
      <c r="I403" s="35"/>
      <c r="J403" s="35">
        <v>0</v>
      </c>
      <c r="K403" s="35">
        <v>0</v>
      </c>
      <c r="L403" s="35"/>
      <c r="M403" s="35">
        <v>0</v>
      </c>
      <c r="N403" s="35"/>
      <c r="O403" s="35">
        <v>0</v>
      </c>
      <c r="P403" s="35"/>
      <c r="Q403" s="35">
        <v>0</v>
      </c>
      <c r="R403" s="35"/>
      <c r="S403" s="35">
        <v>0</v>
      </c>
      <c r="T403" s="35">
        <v>0</v>
      </c>
      <c r="U403" s="35">
        <v>0</v>
      </c>
      <c r="V403" s="35">
        <f>G403</f>
        <v>181728.83</v>
      </c>
      <c r="W403" s="46">
        <v>0</v>
      </c>
      <c r="X403" s="165">
        <v>2014</v>
      </c>
      <c r="Y403" s="165">
        <v>2014</v>
      </c>
      <c r="Z403" s="176"/>
    </row>
    <row r="404" spans="1:26" s="122" customFormat="1" ht="18" customHeight="1">
      <c r="A404" s="165">
        <f>A403+1</f>
        <v>342</v>
      </c>
      <c r="B404" s="24" t="s">
        <v>108</v>
      </c>
      <c r="C404" s="148" t="s">
        <v>20</v>
      </c>
      <c r="D404" s="165"/>
      <c r="E404" s="49">
        <v>3287.6</v>
      </c>
      <c r="F404" s="49">
        <v>2283.6</v>
      </c>
      <c r="G404" s="46">
        <f>SUM(H404:S404)</f>
        <v>363144.47</v>
      </c>
      <c r="H404" s="35">
        <v>363144.47</v>
      </c>
      <c r="I404" s="35"/>
      <c r="J404" s="35">
        <v>0</v>
      </c>
      <c r="K404" s="35">
        <v>0</v>
      </c>
      <c r="L404" s="35"/>
      <c r="M404" s="35">
        <v>0</v>
      </c>
      <c r="N404" s="35"/>
      <c r="O404" s="35">
        <v>0</v>
      </c>
      <c r="P404" s="35"/>
      <c r="Q404" s="35">
        <v>0</v>
      </c>
      <c r="R404" s="35"/>
      <c r="S404" s="35">
        <v>0</v>
      </c>
      <c r="T404" s="35">
        <v>0</v>
      </c>
      <c r="U404" s="35">
        <v>0</v>
      </c>
      <c r="V404" s="35">
        <f>G404</f>
        <v>363144.47</v>
      </c>
      <c r="W404" s="46">
        <v>0</v>
      </c>
      <c r="X404" s="165">
        <v>2014</v>
      </c>
      <c r="Y404" s="165">
        <v>2014</v>
      </c>
      <c r="Z404" s="176"/>
    </row>
    <row r="405" spans="1:26" s="122" customFormat="1" ht="18" customHeight="1">
      <c r="A405" s="165">
        <f t="shared" ref="A405:A451" si="48">A404+1</f>
        <v>343</v>
      </c>
      <c r="B405" s="24" t="s">
        <v>109</v>
      </c>
      <c r="C405" s="148" t="s">
        <v>19</v>
      </c>
      <c r="D405" s="165"/>
      <c r="E405" s="49">
        <v>1279.2</v>
      </c>
      <c r="F405" s="49">
        <v>828.8</v>
      </c>
      <c r="G405" s="46">
        <f>SUM(H405:S405)</f>
        <v>692052.99</v>
      </c>
      <c r="H405" s="35">
        <v>692052.99</v>
      </c>
      <c r="I405" s="35"/>
      <c r="J405" s="35">
        <v>0</v>
      </c>
      <c r="K405" s="35">
        <v>0</v>
      </c>
      <c r="L405" s="35"/>
      <c r="M405" s="35">
        <v>0</v>
      </c>
      <c r="N405" s="35"/>
      <c r="O405" s="35">
        <v>0</v>
      </c>
      <c r="P405" s="35"/>
      <c r="Q405" s="35">
        <v>0</v>
      </c>
      <c r="R405" s="35"/>
      <c r="S405" s="35">
        <v>0</v>
      </c>
      <c r="T405" s="35">
        <v>0</v>
      </c>
      <c r="U405" s="35">
        <v>0</v>
      </c>
      <c r="V405" s="35">
        <f>G405</f>
        <v>692052.99</v>
      </c>
      <c r="W405" s="46">
        <v>0</v>
      </c>
      <c r="X405" s="165">
        <v>2014</v>
      </c>
      <c r="Y405" s="165">
        <v>2014</v>
      </c>
      <c r="Z405" s="176"/>
    </row>
    <row r="406" spans="1:26" s="122" customFormat="1" ht="18" customHeight="1">
      <c r="A406" s="165">
        <f t="shared" si="48"/>
        <v>344</v>
      </c>
      <c r="B406" s="24" t="s">
        <v>502</v>
      </c>
      <c r="C406" s="148">
        <v>1984</v>
      </c>
      <c r="D406" s="165"/>
      <c r="E406" s="49">
        <v>3923.9</v>
      </c>
      <c r="F406" s="49">
        <v>3354</v>
      </c>
      <c r="G406" s="46">
        <f>SUM(H406:S406)</f>
        <v>146407.96</v>
      </c>
      <c r="H406" s="35">
        <v>146407.96</v>
      </c>
      <c r="I406" s="35"/>
      <c r="J406" s="35">
        <v>0</v>
      </c>
      <c r="K406" s="35">
        <v>0</v>
      </c>
      <c r="L406" s="35"/>
      <c r="M406" s="35">
        <v>0</v>
      </c>
      <c r="N406" s="35"/>
      <c r="O406" s="35">
        <v>0</v>
      </c>
      <c r="P406" s="35"/>
      <c r="Q406" s="35">
        <v>0</v>
      </c>
      <c r="R406" s="35"/>
      <c r="S406" s="35">
        <v>0</v>
      </c>
      <c r="T406" s="35">
        <v>0</v>
      </c>
      <c r="U406" s="35">
        <v>0</v>
      </c>
      <c r="V406" s="35">
        <f>G406</f>
        <v>146407.96</v>
      </c>
      <c r="W406" s="46">
        <v>0</v>
      </c>
      <c r="X406" s="165">
        <v>2014</v>
      </c>
      <c r="Y406" s="165">
        <v>2014</v>
      </c>
      <c r="Z406" s="176"/>
    </row>
    <row r="407" spans="1:26" s="122" customFormat="1" ht="18" customHeight="1">
      <c r="A407" s="165">
        <f t="shared" si="48"/>
        <v>345</v>
      </c>
      <c r="B407" s="24" t="s">
        <v>501</v>
      </c>
      <c r="C407" s="148">
        <v>1982</v>
      </c>
      <c r="D407" s="165"/>
      <c r="E407" s="49">
        <v>2657.6</v>
      </c>
      <c r="F407" s="49">
        <v>2272.4</v>
      </c>
      <c r="G407" s="46">
        <f>SUM(H407:S407)</f>
        <v>763364</v>
      </c>
      <c r="H407" s="35">
        <v>763364</v>
      </c>
      <c r="I407" s="35"/>
      <c r="J407" s="35">
        <v>0</v>
      </c>
      <c r="K407" s="35">
        <v>0</v>
      </c>
      <c r="L407" s="35"/>
      <c r="M407" s="35">
        <v>0</v>
      </c>
      <c r="N407" s="35"/>
      <c r="O407" s="35">
        <v>0</v>
      </c>
      <c r="P407" s="35"/>
      <c r="Q407" s="35">
        <v>0</v>
      </c>
      <c r="R407" s="35"/>
      <c r="S407" s="35">
        <v>0</v>
      </c>
      <c r="T407" s="35">
        <v>0</v>
      </c>
      <c r="U407" s="35">
        <v>0</v>
      </c>
      <c r="V407" s="35">
        <f>G407</f>
        <v>763364</v>
      </c>
      <c r="W407" s="46">
        <v>0</v>
      </c>
      <c r="X407" s="165">
        <v>2014</v>
      </c>
      <c r="Y407" s="165">
        <v>2014</v>
      </c>
      <c r="Z407" s="176"/>
    </row>
    <row r="408" spans="1:26" s="122" customFormat="1" ht="18" customHeight="1">
      <c r="A408" s="165">
        <f t="shared" si="48"/>
        <v>346</v>
      </c>
      <c r="B408" s="24" t="s">
        <v>121</v>
      </c>
      <c r="C408" s="148">
        <v>1993</v>
      </c>
      <c r="D408" s="165"/>
      <c r="E408" s="49">
        <v>4107.5</v>
      </c>
      <c r="F408" s="49">
        <v>2403.1999999999998</v>
      </c>
      <c r="G408" s="46">
        <f>SUM(H408:S408)</f>
        <v>150561.44</v>
      </c>
      <c r="H408" s="35">
        <v>150561.44</v>
      </c>
      <c r="I408" s="35"/>
      <c r="J408" s="35">
        <v>0</v>
      </c>
      <c r="K408" s="35">
        <v>0</v>
      </c>
      <c r="L408" s="35"/>
      <c r="M408" s="35">
        <v>0</v>
      </c>
      <c r="N408" s="35"/>
      <c r="O408" s="35">
        <v>0</v>
      </c>
      <c r="P408" s="35"/>
      <c r="Q408" s="35">
        <v>0</v>
      </c>
      <c r="R408" s="35"/>
      <c r="S408" s="35">
        <v>0</v>
      </c>
      <c r="T408" s="35">
        <v>0</v>
      </c>
      <c r="U408" s="35">
        <v>0</v>
      </c>
      <c r="V408" s="35">
        <f>G408</f>
        <v>150561.44</v>
      </c>
      <c r="W408" s="46">
        <v>0</v>
      </c>
      <c r="X408" s="165">
        <v>2014</v>
      </c>
      <c r="Y408" s="165">
        <v>2014</v>
      </c>
      <c r="Z408" s="176"/>
    </row>
    <row r="409" spans="1:26" s="122" customFormat="1" ht="18" customHeight="1">
      <c r="A409" s="165">
        <f t="shared" si="48"/>
        <v>347</v>
      </c>
      <c r="B409" s="24" t="s">
        <v>122</v>
      </c>
      <c r="C409" s="148" t="s">
        <v>54</v>
      </c>
      <c r="D409" s="165"/>
      <c r="E409" s="49">
        <v>3099.3</v>
      </c>
      <c r="F409" s="49">
        <v>1685.6</v>
      </c>
      <c r="G409" s="46">
        <f>SUM(H409:S409)</f>
        <v>177504.39</v>
      </c>
      <c r="H409" s="35">
        <v>177504.39</v>
      </c>
      <c r="I409" s="35"/>
      <c r="J409" s="35">
        <v>0</v>
      </c>
      <c r="K409" s="35">
        <v>0</v>
      </c>
      <c r="L409" s="35"/>
      <c r="M409" s="35">
        <v>0</v>
      </c>
      <c r="N409" s="35"/>
      <c r="O409" s="35">
        <v>0</v>
      </c>
      <c r="P409" s="35"/>
      <c r="Q409" s="35">
        <v>0</v>
      </c>
      <c r="R409" s="35"/>
      <c r="S409" s="35">
        <v>0</v>
      </c>
      <c r="T409" s="35">
        <v>0</v>
      </c>
      <c r="U409" s="35">
        <v>0</v>
      </c>
      <c r="V409" s="35">
        <f>G409</f>
        <v>177504.39</v>
      </c>
      <c r="W409" s="46">
        <v>0</v>
      </c>
      <c r="X409" s="165">
        <v>2014</v>
      </c>
      <c r="Y409" s="165">
        <v>2014</v>
      </c>
      <c r="Z409" s="176"/>
    </row>
    <row r="410" spans="1:26" s="122" customFormat="1" ht="18" customHeight="1">
      <c r="A410" s="165">
        <f t="shared" si="48"/>
        <v>348</v>
      </c>
      <c r="B410" s="24" t="s">
        <v>123</v>
      </c>
      <c r="C410" s="148">
        <v>1982</v>
      </c>
      <c r="D410" s="165"/>
      <c r="E410" s="49">
        <v>4951</v>
      </c>
      <c r="F410" s="49">
        <v>3421</v>
      </c>
      <c r="G410" s="46">
        <f>SUM(H410:S410)</f>
        <v>159141.85</v>
      </c>
      <c r="H410" s="35">
        <v>159141.85</v>
      </c>
      <c r="I410" s="35"/>
      <c r="J410" s="35">
        <v>0</v>
      </c>
      <c r="K410" s="35">
        <v>0</v>
      </c>
      <c r="L410" s="35"/>
      <c r="M410" s="35">
        <v>0</v>
      </c>
      <c r="N410" s="35"/>
      <c r="O410" s="35">
        <v>0</v>
      </c>
      <c r="P410" s="35"/>
      <c r="Q410" s="35">
        <v>0</v>
      </c>
      <c r="R410" s="35"/>
      <c r="S410" s="35">
        <v>0</v>
      </c>
      <c r="T410" s="35">
        <v>0</v>
      </c>
      <c r="U410" s="35">
        <v>0</v>
      </c>
      <c r="V410" s="35">
        <f>G410</f>
        <v>159141.85</v>
      </c>
      <c r="W410" s="46">
        <v>0</v>
      </c>
      <c r="X410" s="165">
        <v>2014</v>
      </c>
      <c r="Y410" s="165">
        <v>2014</v>
      </c>
      <c r="Z410" s="176"/>
    </row>
    <row r="411" spans="1:26" s="122" customFormat="1" ht="18" customHeight="1">
      <c r="A411" s="165">
        <f t="shared" si="48"/>
        <v>349</v>
      </c>
      <c r="B411" s="24" t="s">
        <v>124</v>
      </c>
      <c r="C411" s="148" t="s">
        <v>21</v>
      </c>
      <c r="D411" s="165"/>
      <c r="E411" s="49">
        <v>9301.9</v>
      </c>
      <c r="F411" s="49">
        <v>6256</v>
      </c>
      <c r="G411" s="46">
        <f>SUM(H411:S411)</f>
        <v>155790.35</v>
      </c>
      <c r="H411" s="35">
        <v>155790.35</v>
      </c>
      <c r="I411" s="35"/>
      <c r="J411" s="35">
        <v>0</v>
      </c>
      <c r="K411" s="35">
        <v>0</v>
      </c>
      <c r="L411" s="35"/>
      <c r="M411" s="35">
        <v>0</v>
      </c>
      <c r="N411" s="35"/>
      <c r="O411" s="35">
        <v>0</v>
      </c>
      <c r="P411" s="35"/>
      <c r="Q411" s="35">
        <v>0</v>
      </c>
      <c r="R411" s="35"/>
      <c r="S411" s="35">
        <v>0</v>
      </c>
      <c r="T411" s="35">
        <v>0</v>
      </c>
      <c r="U411" s="35">
        <v>0</v>
      </c>
      <c r="V411" s="35">
        <f>G411</f>
        <v>155790.35</v>
      </c>
      <c r="W411" s="46">
        <v>0</v>
      </c>
      <c r="X411" s="165">
        <v>2014</v>
      </c>
      <c r="Y411" s="165">
        <v>2014</v>
      </c>
      <c r="Z411" s="176"/>
    </row>
    <row r="412" spans="1:26" s="122" customFormat="1" ht="18" customHeight="1">
      <c r="A412" s="165">
        <f t="shared" si="48"/>
        <v>350</v>
      </c>
      <c r="B412" s="24" t="s">
        <v>107</v>
      </c>
      <c r="C412" s="148">
        <v>1957</v>
      </c>
      <c r="D412" s="165"/>
      <c r="E412" s="49">
        <v>6239.7</v>
      </c>
      <c r="F412" s="49">
        <v>4345.7</v>
      </c>
      <c r="G412" s="46">
        <f>SUM(H412:S412)</f>
        <v>828372.84</v>
      </c>
      <c r="H412" s="35">
        <v>828372.84</v>
      </c>
      <c r="I412" s="35"/>
      <c r="J412" s="35">
        <v>0</v>
      </c>
      <c r="K412" s="35">
        <v>0</v>
      </c>
      <c r="L412" s="35"/>
      <c r="M412" s="35">
        <v>0</v>
      </c>
      <c r="N412" s="35"/>
      <c r="O412" s="35">
        <v>0</v>
      </c>
      <c r="P412" s="35"/>
      <c r="Q412" s="35">
        <v>0</v>
      </c>
      <c r="R412" s="35"/>
      <c r="S412" s="35">
        <v>0</v>
      </c>
      <c r="T412" s="35">
        <v>0</v>
      </c>
      <c r="U412" s="35">
        <v>0</v>
      </c>
      <c r="V412" s="35">
        <f>G412</f>
        <v>828372.84</v>
      </c>
      <c r="W412" s="46">
        <v>0</v>
      </c>
      <c r="X412" s="165">
        <v>2014</v>
      </c>
      <c r="Y412" s="165">
        <v>2014</v>
      </c>
      <c r="Z412" s="176"/>
    </row>
    <row r="413" spans="1:26" s="122" customFormat="1" ht="18" customHeight="1">
      <c r="A413" s="165">
        <f t="shared" si="48"/>
        <v>351</v>
      </c>
      <c r="B413" s="24" t="s">
        <v>128</v>
      </c>
      <c r="C413" s="148">
        <v>1994</v>
      </c>
      <c r="D413" s="165"/>
      <c r="E413" s="49">
        <v>5187.3</v>
      </c>
      <c r="F413" s="49">
        <v>3694</v>
      </c>
      <c r="G413" s="46">
        <f>SUM(H413:S413)</f>
        <v>215417.21</v>
      </c>
      <c r="H413" s="35">
        <v>215417.21</v>
      </c>
      <c r="I413" s="35"/>
      <c r="J413" s="35">
        <v>0</v>
      </c>
      <c r="K413" s="35">
        <v>0</v>
      </c>
      <c r="L413" s="35"/>
      <c r="M413" s="35">
        <v>0</v>
      </c>
      <c r="N413" s="35"/>
      <c r="O413" s="35">
        <v>0</v>
      </c>
      <c r="P413" s="35"/>
      <c r="Q413" s="35">
        <v>0</v>
      </c>
      <c r="R413" s="35"/>
      <c r="S413" s="35">
        <v>0</v>
      </c>
      <c r="T413" s="35">
        <v>0</v>
      </c>
      <c r="U413" s="35">
        <v>0</v>
      </c>
      <c r="V413" s="35">
        <f>G413</f>
        <v>215417.21</v>
      </c>
      <c r="W413" s="46">
        <v>0</v>
      </c>
      <c r="X413" s="165">
        <v>2014</v>
      </c>
      <c r="Y413" s="165">
        <v>2014</v>
      </c>
      <c r="Z413" s="176"/>
    </row>
    <row r="414" spans="1:26" s="122" customFormat="1" ht="18" customHeight="1">
      <c r="A414" s="165">
        <f t="shared" si="48"/>
        <v>352</v>
      </c>
      <c r="B414" s="24" t="s">
        <v>126</v>
      </c>
      <c r="C414" s="148">
        <v>1972</v>
      </c>
      <c r="D414" s="165"/>
      <c r="E414" s="49">
        <v>3852.1</v>
      </c>
      <c r="F414" s="49">
        <v>3091.6</v>
      </c>
      <c r="G414" s="46">
        <f>SUM(H414:S414)</f>
        <v>280410.7</v>
      </c>
      <c r="H414" s="35">
        <v>280410.7</v>
      </c>
      <c r="I414" s="35"/>
      <c r="J414" s="35">
        <v>0</v>
      </c>
      <c r="K414" s="35">
        <v>0</v>
      </c>
      <c r="L414" s="35"/>
      <c r="M414" s="35">
        <v>0</v>
      </c>
      <c r="N414" s="35"/>
      <c r="O414" s="35">
        <v>0</v>
      </c>
      <c r="P414" s="35"/>
      <c r="Q414" s="35">
        <v>0</v>
      </c>
      <c r="R414" s="35"/>
      <c r="S414" s="35">
        <v>0</v>
      </c>
      <c r="T414" s="35">
        <v>0</v>
      </c>
      <c r="U414" s="35">
        <v>0</v>
      </c>
      <c r="V414" s="35">
        <f>G414</f>
        <v>280410.7</v>
      </c>
      <c r="W414" s="46">
        <v>0</v>
      </c>
      <c r="X414" s="165">
        <v>2014</v>
      </c>
      <c r="Y414" s="165">
        <v>2014</v>
      </c>
      <c r="Z414" s="176"/>
    </row>
    <row r="415" spans="1:26" s="122" customFormat="1" ht="18" customHeight="1">
      <c r="A415" s="165">
        <f t="shared" si="48"/>
        <v>353</v>
      </c>
      <c r="B415" s="24" t="s">
        <v>62</v>
      </c>
      <c r="C415" s="148" t="s">
        <v>24</v>
      </c>
      <c r="D415" s="165"/>
      <c r="E415" s="49">
        <v>4398</v>
      </c>
      <c r="F415" s="49">
        <v>3733.1</v>
      </c>
      <c r="G415" s="46">
        <f>SUM(H415:S415)</f>
        <v>1359452.07</v>
      </c>
      <c r="H415" s="35">
        <v>0</v>
      </c>
      <c r="I415" s="35"/>
      <c r="J415" s="35">
        <v>1359452.07</v>
      </c>
      <c r="K415" s="35">
        <v>0</v>
      </c>
      <c r="L415" s="35"/>
      <c r="M415" s="35">
        <v>0</v>
      </c>
      <c r="N415" s="35"/>
      <c r="O415" s="35">
        <v>0</v>
      </c>
      <c r="P415" s="35"/>
      <c r="Q415" s="35">
        <v>0</v>
      </c>
      <c r="R415" s="35"/>
      <c r="S415" s="35">
        <v>0</v>
      </c>
      <c r="T415" s="35">
        <v>0</v>
      </c>
      <c r="U415" s="35">
        <v>0</v>
      </c>
      <c r="V415" s="35">
        <f>G415</f>
        <v>1359452.07</v>
      </c>
      <c r="W415" s="46">
        <v>0</v>
      </c>
      <c r="X415" s="165">
        <v>2014</v>
      </c>
      <c r="Y415" s="165">
        <v>2014</v>
      </c>
      <c r="Z415" s="176"/>
    </row>
    <row r="416" spans="1:26" s="122" customFormat="1" ht="18" customHeight="1">
      <c r="A416" s="165">
        <f t="shared" si="48"/>
        <v>354</v>
      </c>
      <c r="B416" s="24" t="s">
        <v>59</v>
      </c>
      <c r="C416" s="148">
        <v>1968</v>
      </c>
      <c r="D416" s="165"/>
      <c r="E416" s="49">
        <v>8260.7999999999993</v>
      </c>
      <c r="F416" s="49">
        <v>5654.3</v>
      </c>
      <c r="G416" s="46">
        <f>SUM(H416:S416)</f>
        <v>982579.97</v>
      </c>
      <c r="H416" s="35">
        <v>982579.97</v>
      </c>
      <c r="I416" s="35"/>
      <c r="J416" s="35">
        <v>0</v>
      </c>
      <c r="K416" s="35">
        <v>0</v>
      </c>
      <c r="L416" s="35"/>
      <c r="M416" s="35">
        <v>0</v>
      </c>
      <c r="N416" s="35"/>
      <c r="O416" s="35">
        <v>0</v>
      </c>
      <c r="P416" s="35"/>
      <c r="Q416" s="35">
        <v>0</v>
      </c>
      <c r="R416" s="35"/>
      <c r="S416" s="35">
        <v>0</v>
      </c>
      <c r="T416" s="35">
        <v>0</v>
      </c>
      <c r="U416" s="35">
        <v>0</v>
      </c>
      <c r="V416" s="35">
        <f>G416</f>
        <v>982579.97</v>
      </c>
      <c r="W416" s="46">
        <v>0</v>
      </c>
      <c r="X416" s="165">
        <v>2014</v>
      </c>
      <c r="Y416" s="165">
        <v>2014</v>
      </c>
      <c r="Z416" s="176"/>
    </row>
    <row r="417" spans="1:26" s="122" customFormat="1" ht="18" customHeight="1">
      <c r="A417" s="165">
        <f t="shared" si="48"/>
        <v>355</v>
      </c>
      <c r="B417" s="24" t="s">
        <v>63</v>
      </c>
      <c r="C417" s="148">
        <v>1975</v>
      </c>
      <c r="D417" s="165"/>
      <c r="E417" s="49">
        <v>4488.5</v>
      </c>
      <c r="F417" s="49">
        <v>3919.4</v>
      </c>
      <c r="G417" s="46">
        <f>SUM(H417:S417)</f>
        <v>3619578.79</v>
      </c>
      <c r="H417" s="35">
        <v>0</v>
      </c>
      <c r="I417" s="35"/>
      <c r="J417" s="35">
        <v>0</v>
      </c>
      <c r="K417" s="35">
        <v>0</v>
      </c>
      <c r="L417" s="35"/>
      <c r="M417" s="35">
        <v>0</v>
      </c>
      <c r="N417" s="35"/>
      <c r="O417" s="35">
        <v>3619578.79</v>
      </c>
      <c r="P417" s="35"/>
      <c r="Q417" s="35">
        <v>0</v>
      </c>
      <c r="R417" s="35"/>
      <c r="S417" s="35">
        <v>0</v>
      </c>
      <c r="T417" s="35">
        <v>0</v>
      </c>
      <c r="U417" s="35">
        <v>0</v>
      </c>
      <c r="V417" s="35">
        <f>G417</f>
        <v>3619578.79</v>
      </c>
      <c r="W417" s="46">
        <v>0</v>
      </c>
      <c r="X417" s="165">
        <v>2014</v>
      </c>
      <c r="Y417" s="165">
        <v>2014</v>
      </c>
      <c r="Z417" s="176"/>
    </row>
    <row r="418" spans="1:26" s="122" customFormat="1" ht="18" customHeight="1">
      <c r="A418" s="165">
        <f t="shared" si="48"/>
        <v>356</v>
      </c>
      <c r="B418" s="24" t="s">
        <v>64</v>
      </c>
      <c r="C418" s="148">
        <v>1976</v>
      </c>
      <c r="D418" s="165"/>
      <c r="E418" s="49">
        <v>4695.1000000000004</v>
      </c>
      <c r="F418" s="49">
        <v>4130.1000000000004</v>
      </c>
      <c r="G418" s="46">
        <f>SUM(H418:S418)</f>
        <v>3556908.3</v>
      </c>
      <c r="H418" s="35">
        <v>0</v>
      </c>
      <c r="I418" s="35"/>
      <c r="J418" s="35">
        <v>0</v>
      </c>
      <c r="K418" s="35">
        <v>0</v>
      </c>
      <c r="L418" s="35"/>
      <c r="M418" s="35">
        <v>0</v>
      </c>
      <c r="N418" s="35"/>
      <c r="O418" s="35">
        <v>3556908.3</v>
      </c>
      <c r="P418" s="35"/>
      <c r="Q418" s="35">
        <v>0</v>
      </c>
      <c r="R418" s="35"/>
      <c r="S418" s="35">
        <v>0</v>
      </c>
      <c r="T418" s="35">
        <v>0</v>
      </c>
      <c r="U418" s="35">
        <v>0</v>
      </c>
      <c r="V418" s="35">
        <f>G418</f>
        <v>3556908.3</v>
      </c>
      <c r="W418" s="46">
        <v>0</v>
      </c>
      <c r="X418" s="165">
        <v>2014</v>
      </c>
      <c r="Y418" s="165">
        <v>2014</v>
      </c>
      <c r="Z418" s="176"/>
    </row>
    <row r="419" spans="1:26" s="122" customFormat="1" ht="18" customHeight="1">
      <c r="A419" s="165">
        <f t="shared" si="48"/>
        <v>357</v>
      </c>
      <c r="B419" s="24" t="s">
        <v>61</v>
      </c>
      <c r="C419" s="148">
        <v>1977</v>
      </c>
      <c r="D419" s="165"/>
      <c r="E419" s="49">
        <v>3157.5</v>
      </c>
      <c r="F419" s="49">
        <v>2746.2</v>
      </c>
      <c r="G419" s="46">
        <f>SUM(H419:S419)</f>
        <v>162534.82</v>
      </c>
      <c r="H419" s="35">
        <v>162534.82</v>
      </c>
      <c r="I419" s="35"/>
      <c r="J419" s="35">
        <v>0</v>
      </c>
      <c r="K419" s="35">
        <v>0</v>
      </c>
      <c r="L419" s="35"/>
      <c r="M419" s="35">
        <v>0</v>
      </c>
      <c r="N419" s="35"/>
      <c r="O419" s="35">
        <v>0</v>
      </c>
      <c r="P419" s="35"/>
      <c r="Q419" s="35">
        <v>0</v>
      </c>
      <c r="R419" s="35"/>
      <c r="S419" s="35">
        <v>0</v>
      </c>
      <c r="T419" s="35">
        <v>0</v>
      </c>
      <c r="U419" s="35">
        <v>0</v>
      </c>
      <c r="V419" s="35">
        <f>G419</f>
        <v>162534.82</v>
      </c>
      <c r="W419" s="46">
        <v>0</v>
      </c>
      <c r="X419" s="165">
        <v>2014</v>
      </c>
      <c r="Y419" s="165">
        <v>2014</v>
      </c>
      <c r="Z419" s="176"/>
    </row>
    <row r="420" spans="1:26" s="122" customFormat="1" ht="18" customHeight="1">
      <c r="A420" s="165">
        <f t="shared" si="48"/>
        <v>358</v>
      </c>
      <c r="B420" s="24" t="s">
        <v>66</v>
      </c>
      <c r="C420" s="148">
        <v>1978</v>
      </c>
      <c r="D420" s="165"/>
      <c r="E420" s="49">
        <v>7589.3</v>
      </c>
      <c r="F420" s="49">
        <v>6024</v>
      </c>
      <c r="G420" s="46">
        <f>SUM(H420:S420)</f>
        <v>7065028.7199999997</v>
      </c>
      <c r="H420" s="35">
        <v>0</v>
      </c>
      <c r="I420" s="35"/>
      <c r="J420" s="35">
        <v>7065028.7199999997</v>
      </c>
      <c r="K420" s="35">
        <v>0</v>
      </c>
      <c r="L420" s="35"/>
      <c r="M420" s="35">
        <v>0</v>
      </c>
      <c r="N420" s="35"/>
      <c r="O420" s="35">
        <v>0</v>
      </c>
      <c r="P420" s="35"/>
      <c r="Q420" s="35">
        <v>0</v>
      </c>
      <c r="R420" s="35"/>
      <c r="S420" s="35">
        <v>0</v>
      </c>
      <c r="T420" s="35">
        <v>0</v>
      </c>
      <c r="U420" s="35">
        <v>0</v>
      </c>
      <c r="V420" s="35">
        <f>G420</f>
        <v>7065028.7199999997</v>
      </c>
      <c r="W420" s="46">
        <v>0</v>
      </c>
      <c r="X420" s="165">
        <v>2014</v>
      </c>
      <c r="Y420" s="165">
        <v>2014</v>
      </c>
      <c r="Z420" s="176"/>
    </row>
    <row r="421" spans="1:26" s="122" customFormat="1" ht="18" customHeight="1">
      <c r="A421" s="165">
        <f t="shared" si="48"/>
        <v>359</v>
      </c>
      <c r="B421" s="24" t="s">
        <v>67</v>
      </c>
      <c r="C421" s="148">
        <v>1978</v>
      </c>
      <c r="D421" s="165"/>
      <c r="E421" s="49">
        <v>7999.1</v>
      </c>
      <c r="F421" s="49">
        <v>6966.9</v>
      </c>
      <c r="G421" s="46">
        <f>SUM(H421:S421)</f>
        <v>5443053.6299999999</v>
      </c>
      <c r="H421" s="35">
        <v>0</v>
      </c>
      <c r="I421" s="35"/>
      <c r="J421" s="35">
        <v>5443053.6299999999</v>
      </c>
      <c r="K421" s="35">
        <v>0</v>
      </c>
      <c r="L421" s="35"/>
      <c r="M421" s="35">
        <v>0</v>
      </c>
      <c r="N421" s="35"/>
      <c r="O421" s="35">
        <v>0</v>
      </c>
      <c r="P421" s="35"/>
      <c r="Q421" s="35">
        <v>0</v>
      </c>
      <c r="R421" s="35"/>
      <c r="S421" s="35">
        <v>0</v>
      </c>
      <c r="T421" s="35">
        <v>0</v>
      </c>
      <c r="U421" s="35">
        <v>0</v>
      </c>
      <c r="V421" s="35">
        <f>G421</f>
        <v>5443053.6299999999</v>
      </c>
      <c r="W421" s="46">
        <v>0</v>
      </c>
      <c r="X421" s="165">
        <v>2014</v>
      </c>
      <c r="Y421" s="165">
        <v>2014</v>
      </c>
      <c r="Z421" s="176"/>
    </row>
    <row r="422" spans="1:26" s="122" customFormat="1" ht="18" customHeight="1">
      <c r="A422" s="165">
        <f t="shared" si="48"/>
        <v>360</v>
      </c>
      <c r="B422" s="24" t="s">
        <v>65</v>
      </c>
      <c r="C422" s="148" t="s">
        <v>25</v>
      </c>
      <c r="D422" s="165"/>
      <c r="E422" s="49">
        <v>7456.2</v>
      </c>
      <c r="F422" s="49">
        <v>5148.1000000000004</v>
      </c>
      <c r="G422" s="46">
        <f>SUM(H422:S422)</f>
        <v>3585768.04</v>
      </c>
      <c r="H422" s="35">
        <v>0</v>
      </c>
      <c r="I422" s="35"/>
      <c r="J422" s="35">
        <v>3585768.04</v>
      </c>
      <c r="K422" s="35">
        <v>0</v>
      </c>
      <c r="L422" s="35"/>
      <c r="M422" s="35">
        <v>0</v>
      </c>
      <c r="N422" s="35"/>
      <c r="O422" s="35">
        <v>0</v>
      </c>
      <c r="P422" s="35"/>
      <c r="Q422" s="35">
        <v>0</v>
      </c>
      <c r="R422" s="35"/>
      <c r="S422" s="35">
        <v>0</v>
      </c>
      <c r="T422" s="35">
        <v>0</v>
      </c>
      <c r="U422" s="35">
        <v>0</v>
      </c>
      <c r="V422" s="35">
        <f>G422</f>
        <v>3585768.04</v>
      </c>
      <c r="W422" s="46">
        <v>0</v>
      </c>
      <c r="X422" s="165">
        <v>2014</v>
      </c>
      <c r="Y422" s="165">
        <v>2014</v>
      </c>
      <c r="Z422" s="176"/>
    </row>
    <row r="423" spans="1:26" s="122" customFormat="1" ht="18" customHeight="1">
      <c r="A423" s="165">
        <f t="shared" si="48"/>
        <v>361</v>
      </c>
      <c r="B423" s="24" t="s">
        <v>102</v>
      </c>
      <c r="C423" s="148">
        <v>1988</v>
      </c>
      <c r="D423" s="165"/>
      <c r="E423" s="49">
        <v>4539.2</v>
      </c>
      <c r="F423" s="49">
        <v>3416.7</v>
      </c>
      <c r="G423" s="46">
        <f>SUM(H423:S423)</f>
        <v>408890.93</v>
      </c>
      <c r="H423" s="35">
        <v>408890.93</v>
      </c>
      <c r="I423" s="35"/>
      <c r="J423" s="35">
        <v>0</v>
      </c>
      <c r="K423" s="35">
        <v>0</v>
      </c>
      <c r="L423" s="35"/>
      <c r="M423" s="35">
        <v>0</v>
      </c>
      <c r="N423" s="35"/>
      <c r="O423" s="35">
        <v>0</v>
      </c>
      <c r="P423" s="35"/>
      <c r="Q423" s="35">
        <v>0</v>
      </c>
      <c r="R423" s="35"/>
      <c r="S423" s="35">
        <v>0</v>
      </c>
      <c r="T423" s="35">
        <v>0</v>
      </c>
      <c r="U423" s="35">
        <v>0</v>
      </c>
      <c r="V423" s="35">
        <f>G423</f>
        <v>408890.93</v>
      </c>
      <c r="W423" s="46">
        <v>0</v>
      </c>
      <c r="X423" s="165">
        <v>2014</v>
      </c>
      <c r="Y423" s="165">
        <v>2014</v>
      </c>
      <c r="Z423" s="176"/>
    </row>
    <row r="424" spans="1:26" s="122" customFormat="1" ht="18" customHeight="1">
      <c r="A424" s="165">
        <f t="shared" si="48"/>
        <v>362</v>
      </c>
      <c r="B424" s="24" t="s">
        <v>103</v>
      </c>
      <c r="C424" s="148">
        <v>1989</v>
      </c>
      <c r="D424" s="165"/>
      <c r="E424" s="49">
        <v>5304.1</v>
      </c>
      <c r="F424" s="49">
        <v>4100.2</v>
      </c>
      <c r="G424" s="46">
        <f>SUM(H424:S424)</f>
        <v>450679.83</v>
      </c>
      <c r="H424" s="35">
        <v>450679.83</v>
      </c>
      <c r="I424" s="35"/>
      <c r="J424" s="35">
        <v>0</v>
      </c>
      <c r="K424" s="35">
        <v>0</v>
      </c>
      <c r="L424" s="35"/>
      <c r="M424" s="35">
        <v>0</v>
      </c>
      <c r="N424" s="35"/>
      <c r="O424" s="35">
        <v>0</v>
      </c>
      <c r="P424" s="35"/>
      <c r="Q424" s="35">
        <v>0</v>
      </c>
      <c r="R424" s="35"/>
      <c r="S424" s="35">
        <v>0</v>
      </c>
      <c r="T424" s="35">
        <v>0</v>
      </c>
      <c r="U424" s="35">
        <v>0</v>
      </c>
      <c r="V424" s="35">
        <f>G424</f>
        <v>450679.83</v>
      </c>
      <c r="W424" s="46">
        <v>0</v>
      </c>
      <c r="X424" s="165">
        <v>2014</v>
      </c>
      <c r="Y424" s="165">
        <v>2014</v>
      </c>
      <c r="Z424" s="176"/>
    </row>
    <row r="425" spans="1:26" s="122" customFormat="1" ht="18" customHeight="1">
      <c r="A425" s="165">
        <f t="shared" si="48"/>
        <v>363</v>
      </c>
      <c r="B425" s="24" t="s">
        <v>57</v>
      </c>
      <c r="C425" s="148">
        <v>1974</v>
      </c>
      <c r="D425" s="165"/>
      <c r="E425" s="35">
        <v>7920.3</v>
      </c>
      <c r="F425" s="49">
        <v>6222.2</v>
      </c>
      <c r="G425" s="46">
        <f>SUM(H425:S425)</f>
        <v>969513</v>
      </c>
      <c r="H425" s="35">
        <v>969513</v>
      </c>
      <c r="I425" s="35"/>
      <c r="J425" s="35">
        <v>0</v>
      </c>
      <c r="K425" s="35">
        <v>0</v>
      </c>
      <c r="L425" s="35"/>
      <c r="M425" s="35">
        <v>0</v>
      </c>
      <c r="N425" s="35"/>
      <c r="O425" s="35">
        <v>0</v>
      </c>
      <c r="P425" s="35"/>
      <c r="Q425" s="35">
        <v>0</v>
      </c>
      <c r="R425" s="35"/>
      <c r="S425" s="35">
        <v>0</v>
      </c>
      <c r="T425" s="35">
        <v>0</v>
      </c>
      <c r="U425" s="35">
        <v>0</v>
      </c>
      <c r="V425" s="35">
        <f>G425</f>
        <v>969513</v>
      </c>
      <c r="W425" s="46">
        <v>0</v>
      </c>
      <c r="X425" s="165">
        <v>2014</v>
      </c>
      <c r="Y425" s="165">
        <v>2014</v>
      </c>
      <c r="Z425" s="176"/>
    </row>
    <row r="426" spans="1:26" s="122" customFormat="1" ht="18" customHeight="1">
      <c r="A426" s="165">
        <f t="shared" si="48"/>
        <v>364</v>
      </c>
      <c r="B426" s="24" t="s">
        <v>58</v>
      </c>
      <c r="C426" s="148">
        <v>1972</v>
      </c>
      <c r="D426" s="165"/>
      <c r="E426" s="49">
        <v>4927.2</v>
      </c>
      <c r="F426" s="49">
        <v>3691</v>
      </c>
      <c r="G426" s="46">
        <f>SUM(H426:S426)</f>
        <v>1733482.09</v>
      </c>
      <c r="H426" s="35">
        <v>1733482.09</v>
      </c>
      <c r="I426" s="35"/>
      <c r="J426" s="35">
        <v>0</v>
      </c>
      <c r="K426" s="35">
        <v>0</v>
      </c>
      <c r="L426" s="35"/>
      <c r="M426" s="35">
        <v>0</v>
      </c>
      <c r="N426" s="35"/>
      <c r="O426" s="35">
        <v>0</v>
      </c>
      <c r="P426" s="35"/>
      <c r="Q426" s="35">
        <v>0</v>
      </c>
      <c r="R426" s="35"/>
      <c r="S426" s="35">
        <v>0</v>
      </c>
      <c r="T426" s="35">
        <v>0</v>
      </c>
      <c r="U426" s="35">
        <v>0</v>
      </c>
      <c r="V426" s="35">
        <f>G426</f>
        <v>1733482.09</v>
      </c>
      <c r="W426" s="46">
        <v>0</v>
      </c>
      <c r="X426" s="165">
        <v>2014</v>
      </c>
      <c r="Y426" s="165">
        <v>2014</v>
      </c>
      <c r="Z426" s="176"/>
    </row>
    <row r="427" spans="1:26" s="122" customFormat="1" ht="18" customHeight="1">
      <c r="A427" s="165">
        <f t="shared" si="48"/>
        <v>365</v>
      </c>
      <c r="B427" s="24" t="s">
        <v>488</v>
      </c>
      <c r="C427" s="148">
        <v>1971</v>
      </c>
      <c r="D427" s="165"/>
      <c r="E427" s="49">
        <v>3536.3</v>
      </c>
      <c r="F427" s="49">
        <v>2138.5</v>
      </c>
      <c r="G427" s="46">
        <f>SUM(H427:S427)</f>
        <v>204283.44</v>
      </c>
      <c r="H427" s="35">
        <v>204283.44</v>
      </c>
      <c r="I427" s="35"/>
      <c r="J427" s="35">
        <v>0</v>
      </c>
      <c r="K427" s="35">
        <v>0</v>
      </c>
      <c r="L427" s="35"/>
      <c r="M427" s="35">
        <v>0</v>
      </c>
      <c r="N427" s="35"/>
      <c r="O427" s="35">
        <v>0</v>
      </c>
      <c r="P427" s="35"/>
      <c r="Q427" s="35">
        <v>0</v>
      </c>
      <c r="R427" s="35"/>
      <c r="S427" s="35">
        <v>0</v>
      </c>
      <c r="T427" s="35">
        <v>0</v>
      </c>
      <c r="U427" s="35">
        <v>0</v>
      </c>
      <c r="V427" s="35">
        <f>G427</f>
        <v>204283.44</v>
      </c>
      <c r="W427" s="46">
        <v>0</v>
      </c>
      <c r="X427" s="165">
        <v>2014</v>
      </c>
      <c r="Y427" s="165">
        <v>2014</v>
      </c>
      <c r="Z427" s="176"/>
    </row>
    <row r="428" spans="1:26" s="122" customFormat="1" ht="18" customHeight="1">
      <c r="A428" s="165">
        <f t="shared" si="48"/>
        <v>366</v>
      </c>
      <c r="B428" s="24" t="s">
        <v>489</v>
      </c>
      <c r="C428" s="148">
        <v>1975</v>
      </c>
      <c r="D428" s="165"/>
      <c r="E428" s="49">
        <v>3076.6</v>
      </c>
      <c r="F428" s="49">
        <v>1632.5</v>
      </c>
      <c r="G428" s="46">
        <f>SUM(H428:S428)</f>
        <v>605370.59</v>
      </c>
      <c r="H428" s="35">
        <v>605370.59</v>
      </c>
      <c r="I428" s="35"/>
      <c r="J428" s="35">
        <v>0</v>
      </c>
      <c r="K428" s="35">
        <v>0</v>
      </c>
      <c r="L428" s="35"/>
      <c r="M428" s="35">
        <v>0</v>
      </c>
      <c r="N428" s="35"/>
      <c r="O428" s="35">
        <v>0</v>
      </c>
      <c r="P428" s="35"/>
      <c r="Q428" s="35">
        <v>0</v>
      </c>
      <c r="R428" s="35"/>
      <c r="S428" s="35">
        <v>0</v>
      </c>
      <c r="T428" s="35">
        <v>0</v>
      </c>
      <c r="U428" s="35">
        <v>0</v>
      </c>
      <c r="V428" s="35">
        <f>G428</f>
        <v>605370.59</v>
      </c>
      <c r="W428" s="46">
        <v>0</v>
      </c>
      <c r="X428" s="165">
        <v>2014</v>
      </c>
      <c r="Y428" s="165">
        <v>2014</v>
      </c>
      <c r="Z428" s="176"/>
    </row>
    <row r="429" spans="1:26" s="122" customFormat="1" ht="18" customHeight="1">
      <c r="A429" s="165">
        <f t="shared" si="48"/>
        <v>367</v>
      </c>
      <c r="B429" s="24" t="s">
        <v>490</v>
      </c>
      <c r="C429" s="148">
        <v>1975</v>
      </c>
      <c r="D429" s="165"/>
      <c r="E429" s="49">
        <v>3085.1</v>
      </c>
      <c r="F429" s="49">
        <v>1639.5</v>
      </c>
      <c r="G429" s="46">
        <f>SUM(H429:S429)</f>
        <v>14332.42</v>
      </c>
      <c r="H429" s="35">
        <v>14332.42</v>
      </c>
      <c r="I429" s="35"/>
      <c r="J429" s="35">
        <v>0</v>
      </c>
      <c r="K429" s="35">
        <v>0</v>
      </c>
      <c r="L429" s="35"/>
      <c r="M429" s="35">
        <v>0</v>
      </c>
      <c r="N429" s="35"/>
      <c r="O429" s="35">
        <v>0</v>
      </c>
      <c r="P429" s="35"/>
      <c r="Q429" s="35">
        <v>0</v>
      </c>
      <c r="R429" s="35"/>
      <c r="S429" s="35">
        <v>0</v>
      </c>
      <c r="T429" s="35">
        <v>0</v>
      </c>
      <c r="U429" s="35">
        <v>0</v>
      </c>
      <c r="V429" s="35">
        <f>G429</f>
        <v>14332.42</v>
      </c>
      <c r="W429" s="46">
        <v>0</v>
      </c>
      <c r="X429" s="165">
        <v>2014</v>
      </c>
      <c r="Y429" s="165">
        <v>2014</v>
      </c>
      <c r="Z429" s="176"/>
    </row>
    <row r="430" spans="1:26" s="122" customFormat="1" ht="18" customHeight="1">
      <c r="A430" s="165">
        <f t="shared" si="48"/>
        <v>368</v>
      </c>
      <c r="B430" s="24" t="s">
        <v>491</v>
      </c>
      <c r="C430" s="148">
        <v>1972</v>
      </c>
      <c r="D430" s="165"/>
      <c r="E430" s="49">
        <v>3461.6</v>
      </c>
      <c r="F430" s="49">
        <v>2083.8000000000002</v>
      </c>
      <c r="G430" s="46">
        <f>SUM(H430:S430)</f>
        <v>3334.35</v>
      </c>
      <c r="H430" s="35">
        <v>3334.35</v>
      </c>
      <c r="I430" s="35"/>
      <c r="J430" s="35">
        <v>0</v>
      </c>
      <c r="K430" s="35">
        <v>0</v>
      </c>
      <c r="L430" s="35"/>
      <c r="M430" s="35">
        <v>0</v>
      </c>
      <c r="N430" s="35"/>
      <c r="O430" s="35">
        <v>0</v>
      </c>
      <c r="P430" s="35"/>
      <c r="Q430" s="35">
        <v>0</v>
      </c>
      <c r="R430" s="35"/>
      <c r="S430" s="35">
        <v>0</v>
      </c>
      <c r="T430" s="35">
        <v>0</v>
      </c>
      <c r="U430" s="35">
        <v>0</v>
      </c>
      <c r="V430" s="35">
        <f>G430</f>
        <v>3334.35</v>
      </c>
      <c r="W430" s="46">
        <v>0</v>
      </c>
      <c r="X430" s="165">
        <v>2014</v>
      </c>
      <c r="Y430" s="165">
        <v>2014</v>
      </c>
      <c r="Z430" s="176"/>
    </row>
    <row r="431" spans="1:26" s="122" customFormat="1" ht="18" customHeight="1">
      <c r="A431" s="165">
        <f t="shared" si="48"/>
        <v>369</v>
      </c>
      <c r="B431" s="24" t="s">
        <v>104</v>
      </c>
      <c r="C431" s="148">
        <v>1964</v>
      </c>
      <c r="D431" s="165"/>
      <c r="E431" s="35">
        <v>3657.12</v>
      </c>
      <c r="F431" s="49">
        <v>2794.9</v>
      </c>
      <c r="G431" s="46">
        <f>SUM(H431:S431)</f>
        <v>306094.28999999998</v>
      </c>
      <c r="H431" s="35">
        <v>306094.28999999998</v>
      </c>
      <c r="I431" s="35"/>
      <c r="J431" s="35">
        <v>0</v>
      </c>
      <c r="K431" s="35">
        <v>0</v>
      </c>
      <c r="L431" s="35"/>
      <c r="M431" s="35">
        <v>0</v>
      </c>
      <c r="N431" s="35"/>
      <c r="O431" s="35">
        <v>0</v>
      </c>
      <c r="P431" s="35"/>
      <c r="Q431" s="35">
        <v>0</v>
      </c>
      <c r="R431" s="35"/>
      <c r="S431" s="35">
        <v>0</v>
      </c>
      <c r="T431" s="35">
        <v>0</v>
      </c>
      <c r="U431" s="35">
        <v>0</v>
      </c>
      <c r="V431" s="35">
        <f>G431</f>
        <v>306094.28999999998</v>
      </c>
      <c r="W431" s="46">
        <v>0</v>
      </c>
      <c r="X431" s="165">
        <v>2014</v>
      </c>
      <c r="Y431" s="165">
        <v>2014</v>
      </c>
      <c r="Z431" s="176"/>
    </row>
    <row r="432" spans="1:26" s="122" customFormat="1" ht="18" customHeight="1">
      <c r="A432" s="165">
        <f t="shared" si="48"/>
        <v>370</v>
      </c>
      <c r="B432" s="24" t="s">
        <v>105</v>
      </c>
      <c r="C432" s="148">
        <v>1958</v>
      </c>
      <c r="D432" s="165"/>
      <c r="E432" s="49">
        <v>3131.5</v>
      </c>
      <c r="F432" s="49">
        <v>2107.4</v>
      </c>
      <c r="G432" s="46">
        <f>SUM(H432:S432)</f>
        <v>348568.65</v>
      </c>
      <c r="H432" s="35">
        <v>348568.65</v>
      </c>
      <c r="I432" s="35"/>
      <c r="J432" s="35">
        <v>0</v>
      </c>
      <c r="K432" s="35">
        <v>0</v>
      </c>
      <c r="L432" s="35"/>
      <c r="M432" s="35">
        <v>0</v>
      </c>
      <c r="N432" s="35"/>
      <c r="O432" s="35">
        <v>0</v>
      </c>
      <c r="P432" s="35"/>
      <c r="Q432" s="35">
        <v>0</v>
      </c>
      <c r="R432" s="35"/>
      <c r="S432" s="35">
        <v>0</v>
      </c>
      <c r="T432" s="35">
        <v>0</v>
      </c>
      <c r="U432" s="35">
        <v>0</v>
      </c>
      <c r="V432" s="35">
        <f>G432</f>
        <v>348568.65</v>
      </c>
      <c r="W432" s="46">
        <v>0</v>
      </c>
      <c r="X432" s="165">
        <v>2014</v>
      </c>
      <c r="Y432" s="165">
        <v>2014</v>
      </c>
      <c r="Z432" s="176"/>
    </row>
    <row r="433" spans="1:26" s="122" customFormat="1" ht="18" customHeight="1">
      <c r="A433" s="165">
        <f t="shared" si="48"/>
        <v>371</v>
      </c>
      <c r="B433" s="24" t="s">
        <v>106</v>
      </c>
      <c r="C433" s="148">
        <v>1956</v>
      </c>
      <c r="D433" s="165"/>
      <c r="E433" s="49">
        <v>2133.8000000000002</v>
      </c>
      <c r="F433" s="49">
        <f>2133.8-45</f>
        <v>2088.8000000000002</v>
      </c>
      <c r="G433" s="46">
        <f>SUM(H433:S433)</f>
        <v>332190.88</v>
      </c>
      <c r="H433" s="35">
        <v>332190.88</v>
      </c>
      <c r="I433" s="35"/>
      <c r="J433" s="35">
        <v>0</v>
      </c>
      <c r="K433" s="35">
        <v>0</v>
      </c>
      <c r="L433" s="35"/>
      <c r="M433" s="35">
        <v>0</v>
      </c>
      <c r="N433" s="35"/>
      <c r="O433" s="35">
        <v>0</v>
      </c>
      <c r="P433" s="35"/>
      <c r="Q433" s="35">
        <v>0</v>
      </c>
      <c r="R433" s="35"/>
      <c r="S433" s="35">
        <v>0</v>
      </c>
      <c r="T433" s="35">
        <v>0</v>
      </c>
      <c r="U433" s="35">
        <v>0</v>
      </c>
      <c r="V433" s="35">
        <f>G433</f>
        <v>332190.88</v>
      </c>
      <c r="W433" s="46">
        <v>0</v>
      </c>
      <c r="X433" s="165">
        <v>2014</v>
      </c>
      <c r="Y433" s="165">
        <v>2014</v>
      </c>
      <c r="Z433" s="176"/>
    </row>
    <row r="434" spans="1:26" s="122" customFormat="1" ht="18" customHeight="1">
      <c r="A434" s="165">
        <f t="shared" si="48"/>
        <v>372</v>
      </c>
      <c r="B434" s="24" t="s">
        <v>222</v>
      </c>
      <c r="C434" s="148" t="s">
        <v>223</v>
      </c>
      <c r="D434" s="165"/>
      <c r="E434" s="49">
        <v>1908.2</v>
      </c>
      <c r="F434" s="49">
        <v>1287.9000000000001</v>
      </c>
      <c r="G434" s="46">
        <f>SUM(H434:S434)</f>
        <v>3704527.7</v>
      </c>
      <c r="H434" s="35">
        <v>1209861.73</v>
      </c>
      <c r="I434" s="35"/>
      <c r="J434" s="35">
        <v>0</v>
      </c>
      <c r="K434" s="35">
        <v>1255992.47</v>
      </c>
      <c r="L434" s="35"/>
      <c r="M434" s="35">
        <v>25754.9</v>
      </c>
      <c r="N434" s="35"/>
      <c r="O434" s="35">
        <v>1150299.8500000001</v>
      </c>
      <c r="P434" s="35"/>
      <c r="Q434" s="35">
        <v>62618.75</v>
      </c>
      <c r="R434" s="35"/>
      <c r="S434" s="35">
        <v>0</v>
      </c>
      <c r="T434" s="35">
        <v>0</v>
      </c>
      <c r="U434" s="35">
        <v>0</v>
      </c>
      <c r="V434" s="35">
        <v>0</v>
      </c>
      <c r="W434" s="46">
        <f>G434</f>
        <v>3704527.7</v>
      </c>
      <c r="X434" s="165">
        <v>2015</v>
      </c>
      <c r="Y434" s="165">
        <v>2015</v>
      </c>
      <c r="Z434" s="176"/>
    </row>
    <row r="435" spans="1:26" s="122" customFormat="1" ht="18" customHeight="1">
      <c r="A435" s="165">
        <f t="shared" si="48"/>
        <v>373</v>
      </c>
      <c r="B435" s="24" t="s">
        <v>224</v>
      </c>
      <c r="C435" s="148" t="s">
        <v>223</v>
      </c>
      <c r="D435" s="165"/>
      <c r="E435" s="49">
        <v>3515.2</v>
      </c>
      <c r="F435" s="49">
        <v>2892.7</v>
      </c>
      <c r="G435" s="46">
        <f>SUM(H435:S435)</f>
        <v>8930271.0099999998</v>
      </c>
      <c r="H435" s="35">
        <v>3142067.5</v>
      </c>
      <c r="I435" s="35"/>
      <c r="J435" s="35">
        <v>0</v>
      </c>
      <c r="K435" s="35">
        <v>3503839.64</v>
      </c>
      <c r="L435" s="35"/>
      <c r="M435" s="35">
        <v>47497.24</v>
      </c>
      <c r="N435" s="35"/>
      <c r="O435" s="35">
        <v>2121385.02</v>
      </c>
      <c r="P435" s="35"/>
      <c r="Q435" s="35">
        <v>115481.61</v>
      </c>
      <c r="R435" s="35"/>
      <c r="S435" s="35">
        <v>0</v>
      </c>
      <c r="T435" s="35">
        <v>0</v>
      </c>
      <c r="U435" s="35">
        <v>0</v>
      </c>
      <c r="V435" s="35">
        <v>0</v>
      </c>
      <c r="W435" s="46">
        <f>G435</f>
        <v>8930271.0099999998</v>
      </c>
      <c r="X435" s="165">
        <v>2015</v>
      </c>
      <c r="Y435" s="165">
        <v>2015</v>
      </c>
      <c r="Z435" s="176"/>
    </row>
    <row r="436" spans="1:26" s="122" customFormat="1" ht="18" customHeight="1">
      <c r="A436" s="165">
        <f t="shared" si="48"/>
        <v>374</v>
      </c>
      <c r="B436" s="24" t="s">
        <v>242</v>
      </c>
      <c r="C436" s="148">
        <v>1978</v>
      </c>
      <c r="D436" s="165"/>
      <c r="E436" s="49">
        <v>3914.6</v>
      </c>
      <c r="F436" s="49">
        <v>3461.2</v>
      </c>
      <c r="G436" s="46">
        <f>H436+J436+K436+M436+O436+Q436+S436</f>
        <v>11245161.899999999</v>
      </c>
      <c r="H436" s="62">
        <f>ROUND(F436*(493.96+163.46+250.9+265.61+621.06),2)</f>
        <v>6212819.3899999997</v>
      </c>
      <c r="I436" s="46">
        <f>H436/F436</f>
        <v>1794.9900005778343</v>
      </c>
      <c r="J436" s="46">
        <v>0</v>
      </c>
      <c r="K436" s="62">
        <f>ROUND(F436*564.41,2)</f>
        <v>1953535.89</v>
      </c>
      <c r="L436" s="46">
        <f>K436/F436</f>
        <v>564.4099994221657</v>
      </c>
      <c r="M436" s="62">
        <v>0</v>
      </c>
      <c r="N436" s="62"/>
      <c r="O436" s="62">
        <f>ROUND(F436*889.52,2)</f>
        <v>3078806.62</v>
      </c>
      <c r="P436" s="46">
        <f>O436/F436</f>
        <v>889.51999884433155</v>
      </c>
      <c r="Q436" s="62">
        <v>0</v>
      </c>
      <c r="R436" s="35"/>
      <c r="S436" s="35">
        <v>0</v>
      </c>
      <c r="T436" s="35">
        <v>0</v>
      </c>
      <c r="U436" s="35">
        <v>0</v>
      </c>
      <c r="V436" s="35">
        <v>0</v>
      </c>
      <c r="W436" s="46">
        <f>G436</f>
        <v>11245161.899999999</v>
      </c>
      <c r="X436" s="165">
        <v>2016</v>
      </c>
      <c r="Y436" s="165">
        <v>2016</v>
      </c>
      <c r="Z436" s="176">
        <f>Z398+1</f>
        <v>229</v>
      </c>
    </row>
    <row r="437" spans="1:26" s="122" customFormat="1" ht="18" customHeight="1">
      <c r="A437" s="165">
        <f t="shared" si="48"/>
        <v>375</v>
      </c>
      <c r="B437" s="24" t="s">
        <v>235</v>
      </c>
      <c r="C437" s="148">
        <v>1976</v>
      </c>
      <c r="D437" s="165"/>
      <c r="E437" s="49">
        <v>3698</v>
      </c>
      <c r="F437" s="49">
        <v>3237.8</v>
      </c>
      <c r="G437" s="46">
        <f>H437+J437+K437+M437+O437+Q437+S437</f>
        <v>10519353.18</v>
      </c>
      <c r="H437" s="62">
        <f>ROUND(F437*(493.96+163.46+250.9+265.61+621.06),2)</f>
        <v>5811818.6200000001</v>
      </c>
      <c r="I437" s="46">
        <f>H437/F437</f>
        <v>1794.9899993822964</v>
      </c>
      <c r="J437" s="46">
        <v>0</v>
      </c>
      <c r="K437" s="62">
        <f>ROUND(F437*564.41,2)</f>
        <v>1827446.7</v>
      </c>
      <c r="L437" s="46">
        <f>K437/F437</f>
        <v>564.4100006177033</v>
      </c>
      <c r="M437" s="62">
        <v>0</v>
      </c>
      <c r="N437" s="62"/>
      <c r="O437" s="62">
        <f>ROUND(F437*889.52,2)</f>
        <v>2880087.86</v>
      </c>
      <c r="P437" s="46">
        <f>O437/F437</f>
        <v>889.52000123540665</v>
      </c>
      <c r="Q437" s="62">
        <v>0</v>
      </c>
      <c r="R437" s="35"/>
      <c r="S437" s="35">
        <v>0</v>
      </c>
      <c r="T437" s="35">
        <v>0</v>
      </c>
      <c r="U437" s="35">
        <v>0</v>
      </c>
      <c r="V437" s="35">
        <v>0</v>
      </c>
      <c r="W437" s="46">
        <f>G437</f>
        <v>10519353.18</v>
      </c>
      <c r="X437" s="165">
        <v>2016</v>
      </c>
      <c r="Y437" s="165">
        <v>2016</v>
      </c>
      <c r="Z437" s="176">
        <f>Z436+1</f>
        <v>230</v>
      </c>
    </row>
    <row r="438" spans="1:26" s="122" customFormat="1" ht="18" customHeight="1">
      <c r="A438" s="165">
        <f t="shared" si="48"/>
        <v>376</v>
      </c>
      <c r="B438" s="24" t="s">
        <v>236</v>
      </c>
      <c r="C438" s="148">
        <v>1978</v>
      </c>
      <c r="D438" s="165"/>
      <c r="E438" s="49">
        <v>3684.8</v>
      </c>
      <c r="F438" s="49">
        <v>3221.3</v>
      </c>
      <c r="G438" s="46">
        <f>H438+J438+K438+M438+O438+Q438+S438</f>
        <v>10465746</v>
      </c>
      <c r="H438" s="62">
        <f>ROUND(F438*(493.96+163.46+250.9+265.61+621.06),2)</f>
        <v>5782201.29</v>
      </c>
      <c r="I438" s="46">
        <f>H438/F438</f>
        <v>1794.990000931301</v>
      </c>
      <c r="J438" s="46">
        <v>0</v>
      </c>
      <c r="K438" s="62">
        <f>ROUND(F438*564.41,2)</f>
        <v>1818133.93</v>
      </c>
      <c r="L438" s="46">
        <f>K438/F438</f>
        <v>564.40999906869888</v>
      </c>
      <c r="M438" s="62">
        <v>0</v>
      </c>
      <c r="N438" s="62"/>
      <c r="O438" s="62">
        <f>ROUND(F438*889.52,2)</f>
        <v>2865410.78</v>
      </c>
      <c r="P438" s="46">
        <f>O438/F438</f>
        <v>889.52000124173458</v>
      </c>
      <c r="Q438" s="62">
        <v>0</v>
      </c>
      <c r="R438" s="35"/>
      <c r="S438" s="35">
        <v>0</v>
      </c>
      <c r="T438" s="35">
        <v>0</v>
      </c>
      <c r="U438" s="35">
        <v>0</v>
      </c>
      <c r="V438" s="35">
        <v>0</v>
      </c>
      <c r="W438" s="46">
        <f>G438</f>
        <v>10465746</v>
      </c>
      <c r="X438" s="165">
        <v>2016</v>
      </c>
      <c r="Y438" s="165">
        <v>2016</v>
      </c>
      <c r="Z438" s="176">
        <f t="shared" ref="Z438:Z451" si="49">Z437+1</f>
        <v>231</v>
      </c>
    </row>
    <row r="439" spans="1:26" s="122" customFormat="1" ht="18" customHeight="1">
      <c r="A439" s="165">
        <f t="shared" si="48"/>
        <v>377</v>
      </c>
      <c r="B439" s="24" t="s">
        <v>239</v>
      </c>
      <c r="C439" s="148">
        <v>1973</v>
      </c>
      <c r="D439" s="165"/>
      <c r="E439" s="49">
        <v>2680.4</v>
      </c>
      <c r="F439" s="49">
        <v>2318</v>
      </c>
      <c r="G439" s="46">
        <f>H439+J439+K439+M439+O439+Q439+S439</f>
        <v>2061907.36</v>
      </c>
      <c r="H439" s="62">
        <v>0</v>
      </c>
      <c r="I439" s="46">
        <f>H439/F439</f>
        <v>0</v>
      </c>
      <c r="J439" s="46">
        <v>0</v>
      </c>
      <c r="K439" s="62">
        <v>0</v>
      </c>
      <c r="L439" s="46">
        <f>K439/F439</f>
        <v>0</v>
      </c>
      <c r="M439" s="62">
        <v>0</v>
      </c>
      <c r="N439" s="62"/>
      <c r="O439" s="62">
        <f>ROUND(F439*889.52,2)</f>
        <v>2061907.36</v>
      </c>
      <c r="P439" s="46">
        <f>O439/F439</f>
        <v>889.5200000000001</v>
      </c>
      <c r="Q439" s="62">
        <v>0</v>
      </c>
      <c r="R439" s="35"/>
      <c r="S439" s="35">
        <v>0</v>
      </c>
      <c r="T439" s="35">
        <v>0</v>
      </c>
      <c r="U439" s="35">
        <v>0</v>
      </c>
      <c r="V439" s="35">
        <v>0</v>
      </c>
      <c r="W439" s="46">
        <f>G439</f>
        <v>2061907.36</v>
      </c>
      <c r="X439" s="165">
        <v>2016</v>
      </c>
      <c r="Y439" s="165">
        <v>2016</v>
      </c>
      <c r="Z439" s="176">
        <f t="shared" si="49"/>
        <v>232</v>
      </c>
    </row>
    <row r="440" spans="1:26" s="122" customFormat="1" ht="18" customHeight="1">
      <c r="A440" s="165">
        <f t="shared" si="48"/>
        <v>378</v>
      </c>
      <c r="B440" s="24" t="s">
        <v>237</v>
      </c>
      <c r="C440" s="148">
        <v>1971</v>
      </c>
      <c r="D440" s="165"/>
      <c r="E440" s="49">
        <v>13155.9</v>
      </c>
      <c r="F440" s="49">
        <v>11853.4</v>
      </c>
      <c r="G440" s="46">
        <f>H440+J440+K440+M440+O440+Q440+S440</f>
        <v>4304562.21</v>
      </c>
      <c r="H440" s="62">
        <f>ROUND(F440*250.9,2)</f>
        <v>2974018.06</v>
      </c>
      <c r="I440" s="46">
        <f>H440/F440</f>
        <v>250.9</v>
      </c>
      <c r="J440" s="46">
        <v>0</v>
      </c>
      <c r="K440" s="62">
        <v>0</v>
      </c>
      <c r="L440" s="46">
        <f>K440/F440</f>
        <v>0</v>
      </c>
      <c r="M440" s="62">
        <f>ROUND(F440*112.25,2)</f>
        <v>1330544.1499999999</v>
      </c>
      <c r="N440" s="62">
        <f>M440/F440</f>
        <v>112.25</v>
      </c>
      <c r="O440" s="62">
        <v>0</v>
      </c>
      <c r="P440" s="46">
        <f>O440/F440</f>
        <v>0</v>
      </c>
      <c r="Q440" s="62">
        <v>0</v>
      </c>
      <c r="R440" s="35"/>
      <c r="S440" s="35">
        <v>0</v>
      </c>
      <c r="T440" s="35">
        <v>0</v>
      </c>
      <c r="U440" s="35">
        <v>0</v>
      </c>
      <c r="V440" s="35">
        <v>0</v>
      </c>
      <c r="W440" s="46">
        <f>G440</f>
        <v>4304562.21</v>
      </c>
      <c r="X440" s="165">
        <v>2016</v>
      </c>
      <c r="Y440" s="165">
        <v>2016</v>
      </c>
      <c r="Z440" s="176">
        <f t="shared" si="49"/>
        <v>233</v>
      </c>
    </row>
    <row r="441" spans="1:26" s="122" customFormat="1" ht="18" customHeight="1">
      <c r="A441" s="165">
        <f t="shared" si="48"/>
        <v>379</v>
      </c>
      <c r="B441" s="24" t="s">
        <v>231</v>
      </c>
      <c r="C441" s="148" t="s">
        <v>226</v>
      </c>
      <c r="D441" s="165"/>
      <c r="E441" s="49">
        <v>1833.4</v>
      </c>
      <c r="F441" s="49">
        <v>1639</v>
      </c>
      <c r="G441" s="46">
        <f>H441+J441+K441+M441+O441+Q441+S441</f>
        <v>1804443.66</v>
      </c>
      <c r="H441" s="46">
        <v>1804443.66</v>
      </c>
      <c r="I441" s="46">
        <f>H441/F441</f>
        <v>1100.9418303843806</v>
      </c>
      <c r="J441" s="46">
        <v>0</v>
      </c>
      <c r="K441" s="46">
        <v>0</v>
      </c>
      <c r="L441" s="46"/>
      <c r="M441" s="46">
        <v>0</v>
      </c>
      <c r="N441" s="46"/>
      <c r="O441" s="46">
        <v>0</v>
      </c>
      <c r="P441" s="46">
        <f>O441/F441</f>
        <v>0</v>
      </c>
      <c r="Q441" s="46">
        <v>0</v>
      </c>
      <c r="R441" s="35"/>
      <c r="S441" s="35">
        <v>0</v>
      </c>
      <c r="T441" s="35">
        <v>0</v>
      </c>
      <c r="U441" s="35">
        <v>0</v>
      </c>
      <c r="V441" s="35">
        <v>0</v>
      </c>
      <c r="W441" s="46">
        <f>G441</f>
        <v>1804443.66</v>
      </c>
      <c r="X441" s="165">
        <v>2015</v>
      </c>
      <c r="Y441" s="165">
        <v>2016</v>
      </c>
      <c r="Z441" s="176">
        <f t="shared" si="49"/>
        <v>234</v>
      </c>
    </row>
    <row r="442" spans="1:26" s="122" customFormat="1" ht="18" customHeight="1">
      <c r="A442" s="165">
        <f t="shared" si="48"/>
        <v>380</v>
      </c>
      <c r="B442" s="24" t="s">
        <v>232</v>
      </c>
      <c r="C442" s="148" t="s">
        <v>226</v>
      </c>
      <c r="D442" s="165"/>
      <c r="E442" s="49">
        <v>1868.6</v>
      </c>
      <c r="F442" s="49">
        <v>1679.4</v>
      </c>
      <c r="G442" s="46">
        <f>H442+J442+K442+M442+O442+Q442+S442</f>
        <v>200100</v>
      </c>
      <c r="H442" s="46">
        <v>0</v>
      </c>
      <c r="I442" s="46">
        <f>H442/F442</f>
        <v>0</v>
      </c>
      <c r="J442" s="46">
        <v>0</v>
      </c>
      <c r="K442" s="62">
        <v>0</v>
      </c>
      <c r="L442" s="62"/>
      <c r="M442" s="62">
        <v>0</v>
      </c>
      <c r="N442" s="62"/>
      <c r="O442" s="62">
        <v>0</v>
      </c>
      <c r="P442" s="46">
        <f>O442/F442</f>
        <v>0</v>
      </c>
      <c r="Q442" s="62">
        <v>0</v>
      </c>
      <c r="R442" s="35"/>
      <c r="S442" s="35">
        <v>200100</v>
      </c>
      <c r="T442" s="35">
        <v>0</v>
      </c>
      <c r="U442" s="35">
        <v>0</v>
      </c>
      <c r="V442" s="35">
        <v>0</v>
      </c>
      <c r="W442" s="46">
        <f>G442</f>
        <v>200100</v>
      </c>
      <c r="X442" s="165">
        <v>2015</v>
      </c>
      <c r="Y442" s="165">
        <v>2016</v>
      </c>
      <c r="Z442" s="176">
        <f t="shared" si="49"/>
        <v>235</v>
      </c>
    </row>
    <row r="443" spans="1:26" s="122" customFormat="1" ht="18" customHeight="1">
      <c r="A443" s="165">
        <f t="shared" si="48"/>
        <v>381</v>
      </c>
      <c r="B443" s="24" t="s">
        <v>225</v>
      </c>
      <c r="C443" s="148" t="s">
        <v>226</v>
      </c>
      <c r="D443" s="165"/>
      <c r="E443" s="49">
        <v>1805.9</v>
      </c>
      <c r="F443" s="49">
        <v>1618.6</v>
      </c>
      <c r="G443" s="46">
        <f>H443+J443+K443+M443+O443+Q443+S443</f>
        <v>2489898.5299999998</v>
      </c>
      <c r="H443" s="46">
        <v>1498034.2</v>
      </c>
      <c r="I443" s="46">
        <f>H443/F443</f>
        <v>925.51229457555917</v>
      </c>
      <c r="J443" s="46">
        <v>0</v>
      </c>
      <c r="K443" s="46">
        <v>0</v>
      </c>
      <c r="L443" s="46"/>
      <c r="M443" s="46">
        <v>0</v>
      </c>
      <c r="N443" s="46"/>
      <c r="O443" s="46">
        <v>991864.33</v>
      </c>
      <c r="P443" s="46">
        <f>O443/F443</f>
        <v>612.79150500432479</v>
      </c>
      <c r="Q443" s="46">
        <v>0</v>
      </c>
      <c r="R443" s="35"/>
      <c r="S443" s="35">
        <v>0</v>
      </c>
      <c r="T443" s="35">
        <v>0</v>
      </c>
      <c r="U443" s="35">
        <v>0</v>
      </c>
      <c r="V443" s="35">
        <v>0</v>
      </c>
      <c r="W443" s="46">
        <f>G443</f>
        <v>2489898.5299999998</v>
      </c>
      <c r="X443" s="165">
        <v>2015</v>
      </c>
      <c r="Y443" s="165">
        <v>2017</v>
      </c>
      <c r="Z443" s="176">
        <f t="shared" si="49"/>
        <v>236</v>
      </c>
    </row>
    <row r="444" spans="1:26" s="122" customFormat="1" ht="18" customHeight="1">
      <c r="A444" s="165">
        <f t="shared" si="48"/>
        <v>382</v>
      </c>
      <c r="B444" s="24" t="s">
        <v>227</v>
      </c>
      <c r="C444" s="148" t="s">
        <v>228</v>
      </c>
      <c r="D444" s="165"/>
      <c r="E444" s="49">
        <v>1763.3</v>
      </c>
      <c r="F444" s="49">
        <v>1579.6</v>
      </c>
      <c r="G444" s="46">
        <f>H444+J444+K444+M444+O444+Q444+S444</f>
        <v>210000</v>
      </c>
      <c r="H444" s="46">
        <v>0</v>
      </c>
      <c r="I444" s="46">
        <f>H444/F444</f>
        <v>0</v>
      </c>
      <c r="J444" s="46">
        <v>0</v>
      </c>
      <c r="K444" s="62">
        <v>0</v>
      </c>
      <c r="L444" s="62"/>
      <c r="M444" s="62">
        <v>0</v>
      </c>
      <c r="N444" s="62"/>
      <c r="O444" s="62">
        <v>0</v>
      </c>
      <c r="P444" s="46">
        <f>O444/F444</f>
        <v>0</v>
      </c>
      <c r="Q444" s="62">
        <v>0</v>
      </c>
      <c r="R444" s="35"/>
      <c r="S444" s="35">
        <v>210000</v>
      </c>
      <c r="T444" s="35">
        <v>0</v>
      </c>
      <c r="U444" s="35">
        <v>0</v>
      </c>
      <c r="V444" s="35">
        <v>0</v>
      </c>
      <c r="W444" s="46">
        <f>G444</f>
        <v>210000</v>
      </c>
      <c r="X444" s="165">
        <v>2015</v>
      </c>
      <c r="Y444" s="165">
        <v>2016</v>
      </c>
      <c r="Z444" s="176">
        <f t="shared" si="49"/>
        <v>237</v>
      </c>
    </row>
    <row r="445" spans="1:26" s="122" customFormat="1" ht="18" customHeight="1">
      <c r="A445" s="165">
        <f t="shared" si="48"/>
        <v>383</v>
      </c>
      <c r="B445" s="24" t="s">
        <v>229</v>
      </c>
      <c r="C445" s="148" t="s">
        <v>226</v>
      </c>
      <c r="D445" s="165"/>
      <c r="E445" s="49">
        <v>2195.9</v>
      </c>
      <c r="F445" s="49">
        <v>1977.3</v>
      </c>
      <c r="G445" s="46">
        <f>H445+J445+K445+M445+O445+Q445+S445</f>
        <v>3027613.62</v>
      </c>
      <c r="H445" s="46">
        <v>1821547.61</v>
      </c>
      <c r="I445" s="46">
        <f>H445/F445</f>
        <v>921.22976280786941</v>
      </c>
      <c r="J445" s="46">
        <v>0</v>
      </c>
      <c r="K445" s="46">
        <v>0</v>
      </c>
      <c r="L445" s="46"/>
      <c r="M445" s="46">
        <v>0</v>
      </c>
      <c r="N445" s="46"/>
      <c r="O445" s="46">
        <v>1206066.01</v>
      </c>
      <c r="P445" s="46">
        <f>O445/F445</f>
        <v>609.95600566428971</v>
      </c>
      <c r="Q445" s="46">
        <v>0</v>
      </c>
      <c r="R445" s="35"/>
      <c r="S445" s="35">
        <v>0</v>
      </c>
      <c r="T445" s="35">
        <v>0</v>
      </c>
      <c r="U445" s="35">
        <v>0</v>
      </c>
      <c r="V445" s="35">
        <v>0</v>
      </c>
      <c r="W445" s="46">
        <f>G445</f>
        <v>3027613.62</v>
      </c>
      <c r="X445" s="165">
        <v>2015</v>
      </c>
      <c r="Y445" s="165">
        <v>2017</v>
      </c>
      <c r="Z445" s="176">
        <f t="shared" si="49"/>
        <v>238</v>
      </c>
    </row>
    <row r="446" spans="1:26" s="122" customFormat="1" ht="18" customHeight="1">
      <c r="A446" s="165">
        <f t="shared" si="48"/>
        <v>384</v>
      </c>
      <c r="B446" s="24" t="s">
        <v>230</v>
      </c>
      <c r="C446" s="148" t="s">
        <v>226</v>
      </c>
      <c r="D446" s="165"/>
      <c r="E446" s="49">
        <v>2421</v>
      </c>
      <c r="F446" s="49">
        <v>2203.3000000000002</v>
      </c>
      <c r="G446" s="46">
        <f>H446+J446+K446+M446+O446+Q446+S446</f>
        <v>340000</v>
      </c>
      <c r="H446" s="46">
        <v>0</v>
      </c>
      <c r="I446" s="46">
        <f>H446/F446</f>
        <v>0</v>
      </c>
      <c r="J446" s="46">
        <v>0</v>
      </c>
      <c r="K446" s="62">
        <v>0</v>
      </c>
      <c r="L446" s="62"/>
      <c r="M446" s="62">
        <v>0</v>
      </c>
      <c r="N446" s="62"/>
      <c r="O446" s="62">
        <v>0</v>
      </c>
      <c r="P446" s="46">
        <f>O446/F446</f>
        <v>0</v>
      </c>
      <c r="Q446" s="46">
        <v>0</v>
      </c>
      <c r="R446" s="35">
        <f>Q446/F446</f>
        <v>0</v>
      </c>
      <c r="S446" s="35">
        <v>340000</v>
      </c>
      <c r="T446" s="35">
        <v>0</v>
      </c>
      <c r="U446" s="35">
        <v>0</v>
      </c>
      <c r="V446" s="35">
        <v>0</v>
      </c>
      <c r="W446" s="46">
        <f>G446</f>
        <v>340000</v>
      </c>
      <c r="X446" s="165">
        <v>2015</v>
      </c>
      <c r="Y446" s="165">
        <v>2016</v>
      </c>
      <c r="Z446" s="176">
        <f t="shared" si="49"/>
        <v>239</v>
      </c>
    </row>
    <row r="447" spans="1:26" s="122" customFormat="1" ht="18" customHeight="1">
      <c r="A447" s="165">
        <f t="shared" si="48"/>
        <v>385</v>
      </c>
      <c r="B447" s="24" t="s">
        <v>241</v>
      </c>
      <c r="C447" s="148">
        <v>1986</v>
      </c>
      <c r="D447" s="165"/>
      <c r="E447" s="49">
        <v>6098.8</v>
      </c>
      <c r="F447" s="49">
        <v>5275.7</v>
      </c>
      <c r="G447" s="46">
        <f>H447+J447+K447+M447+O447+Q447+S447</f>
        <v>4076797.18</v>
      </c>
      <c r="H447" s="62">
        <f>ROUND(F447*(169.07+134.5+469.18),2)</f>
        <v>4076797.18</v>
      </c>
      <c r="I447" s="46">
        <f>H447/F447</f>
        <v>772.75000094774157</v>
      </c>
      <c r="J447" s="46">
        <v>0</v>
      </c>
      <c r="K447" s="62">
        <v>0</v>
      </c>
      <c r="L447" s="62"/>
      <c r="M447" s="62">
        <v>0</v>
      </c>
      <c r="N447" s="62"/>
      <c r="O447" s="62">
        <v>0</v>
      </c>
      <c r="P447" s="46">
        <f>O447/F447</f>
        <v>0</v>
      </c>
      <c r="Q447" s="62">
        <v>0</v>
      </c>
      <c r="R447" s="35"/>
      <c r="S447" s="35">
        <v>0</v>
      </c>
      <c r="T447" s="35">
        <v>0</v>
      </c>
      <c r="U447" s="35">
        <v>0</v>
      </c>
      <c r="V447" s="35">
        <v>0</v>
      </c>
      <c r="W447" s="46">
        <f>G447</f>
        <v>4076797.18</v>
      </c>
      <c r="X447" s="165">
        <v>2016</v>
      </c>
      <c r="Y447" s="165">
        <v>2016</v>
      </c>
      <c r="Z447" s="176">
        <f t="shared" si="49"/>
        <v>240</v>
      </c>
    </row>
    <row r="448" spans="1:26" s="122" customFormat="1" ht="18" customHeight="1">
      <c r="A448" s="165">
        <f t="shared" si="48"/>
        <v>386</v>
      </c>
      <c r="B448" s="24" t="s">
        <v>240</v>
      </c>
      <c r="C448" s="148">
        <v>1977</v>
      </c>
      <c r="D448" s="165"/>
      <c r="E448" s="49">
        <v>2379.1</v>
      </c>
      <c r="F448" s="49">
        <v>2015.2</v>
      </c>
      <c r="G448" s="46">
        <f>H448+J448+K448+M448+O448+Q448+S448</f>
        <v>5409824.5499999998</v>
      </c>
      <c r="H448" s="62">
        <f>ROUND(F448*(493.96+163.46+250.9+265.61+621.06),2)</f>
        <v>3617263.85</v>
      </c>
      <c r="I448" s="46">
        <f>H448/F448</f>
        <v>1794.9900009924572</v>
      </c>
      <c r="J448" s="46">
        <v>0</v>
      </c>
      <c r="K448" s="62">
        <v>0</v>
      </c>
      <c r="L448" s="62"/>
      <c r="M448" s="62">
        <v>0</v>
      </c>
      <c r="N448" s="62"/>
      <c r="O448" s="62">
        <f>ROUND(F448*889.52,2)</f>
        <v>1792560.7</v>
      </c>
      <c r="P448" s="46">
        <f>O448/F448</f>
        <v>889.51999801508532</v>
      </c>
      <c r="Q448" s="62">
        <v>0</v>
      </c>
      <c r="R448" s="35"/>
      <c r="S448" s="35">
        <v>0</v>
      </c>
      <c r="T448" s="35">
        <v>0</v>
      </c>
      <c r="U448" s="35">
        <v>0</v>
      </c>
      <c r="V448" s="35">
        <v>0</v>
      </c>
      <c r="W448" s="46">
        <f>G448</f>
        <v>5409824.5499999998</v>
      </c>
      <c r="X448" s="165">
        <v>2016</v>
      </c>
      <c r="Y448" s="165">
        <v>2016</v>
      </c>
      <c r="Z448" s="176">
        <f t="shared" si="49"/>
        <v>241</v>
      </c>
    </row>
    <row r="449" spans="1:26" s="122" customFormat="1" ht="18" customHeight="1">
      <c r="A449" s="165">
        <f t="shared" si="48"/>
        <v>387</v>
      </c>
      <c r="B449" s="24" t="s">
        <v>238</v>
      </c>
      <c r="C449" s="148">
        <v>1980</v>
      </c>
      <c r="D449" s="165"/>
      <c r="E449" s="49">
        <v>3937.4</v>
      </c>
      <c r="F449" s="49">
        <v>3444.8</v>
      </c>
      <c r="G449" s="46">
        <f>H449+J449+K449+M449+O449+Q449+S449</f>
        <v>3933617.12</v>
      </c>
      <c r="H449" s="62">
        <f>ROUND(F449*1141.9,2)</f>
        <v>3933617.12</v>
      </c>
      <c r="I449" s="46">
        <f>H449/F449</f>
        <v>1141.8999999999999</v>
      </c>
      <c r="J449" s="46">
        <v>0</v>
      </c>
      <c r="K449" s="62">
        <v>0</v>
      </c>
      <c r="L449" s="46">
        <f>K449/F449</f>
        <v>0</v>
      </c>
      <c r="M449" s="62">
        <v>0</v>
      </c>
      <c r="N449" s="62"/>
      <c r="O449" s="62">
        <v>0</v>
      </c>
      <c r="P449" s="46">
        <f>O449/F449</f>
        <v>0</v>
      </c>
      <c r="Q449" s="62">
        <v>0</v>
      </c>
      <c r="R449" s="35"/>
      <c r="S449" s="35">
        <v>0</v>
      </c>
      <c r="T449" s="35">
        <v>0</v>
      </c>
      <c r="U449" s="35">
        <v>0</v>
      </c>
      <c r="V449" s="35">
        <v>0</v>
      </c>
      <c r="W449" s="46">
        <f>G449</f>
        <v>3933617.12</v>
      </c>
      <c r="X449" s="165">
        <v>2016</v>
      </c>
      <c r="Y449" s="165">
        <v>2016</v>
      </c>
      <c r="Z449" s="176">
        <f t="shared" si="49"/>
        <v>242</v>
      </c>
    </row>
    <row r="450" spans="1:26" s="122" customFormat="1" ht="18" customHeight="1">
      <c r="A450" s="165">
        <f t="shared" si="48"/>
        <v>388</v>
      </c>
      <c r="B450" s="24" t="s">
        <v>243</v>
      </c>
      <c r="C450" s="148">
        <v>1963</v>
      </c>
      <c r="D450" s="165"/>
      <c r="E450" s="49">
        <v>1730.6</v>
      </c>
      <c r="F450" s="49">
        <v>1606.3</v>
      </c>
      <c r="G450" s="46">
        <f>H450+J450+K450+M450+O450+Q450+S450</f>
        <v>6709129.5899999999</v>
      </c>
      <c r="H450" s="62">
        <f>ROUND(F450*1699.45,2)</f>
        <v>2729826.54</v>
      </c>
      <c r="I450" s="46">
        <f>H450/F450</f>
        <v>1699.4500031127436</v>
      </c>
      <c r="J450" s="46">
        <v>0</v>
      </c>
      <c r="K450" s="62">
        <f>ROUND(F450*1595.21,2)</f>
        <v>2562385.8199999998</v>
      </c>
      <c r="L450" s="46">
        <f>K450/F450</f>
        <v>1595.2099981323538</v>
      </c>
      <c r="M450" s="62">
        <v>0</v>
      </c>
      <c r="N450" s="62"/>
      <c r="O450" s="62">
        <f>1606.3*882.1</f>
        <v>1416917.23</v>
      </c>
      <c r="P450" s="46">
        <f>O450/F450</f>
        <v>882.1</v>
      </c>
      <c r="Q450" s="62"/>
      <c r="R450" s="35"/>
      <c r="S450" s="35">
        <v>0</v>
      </c>
      <c r="T450" s="35">
        <v>0</v>
      </c>
      <c r="U450" s="35">
        <v>0</v>
      </c>
      <c r="V450" s="35">
        <v>0</v>
      </c>
      <c r="W450" s="46">
        <f>G450</f>
        <v>6709129.5899999999</v>
      </c>
      <c r="X450" s="165">
        <v>2016</v>
      </c>
      <c r="Y450" s="165">
        <v>2016</v>
      </c>
      <c r="Z450" s="176">
        <f t="shared" si="49"/>
        <v>243</v>
      </c>
    </row>
    <row r="451" spans="1:26" s="122" customFormat="1" ht="18" customHeight="1">
      <c r="A451" s="165">
        <f t="shared" si="48"/>
        <v>389</v>
      </c>
      <c r="B451" s="24" t="s">
        <v>233</v>
      </c>
      <c r="C451" s="148" t="s">
        <v>234</v>
      </c>
      <c r="D451" s="165"/>
      <c r="E451" s="49">
        <v>3199.2</v>
      </c>
      <c r="F451" s="49">
        <v>2840.3</v>
      </c>
      <c r="G451" s="46">
        <f>H451+J451+K451+M451+O451+Q451+S451</f>
        <v>4462341.83</v>
      </c>
      <c r="H451" s="46">
        <v>2531659.4</v>
      </c>
      <c r="I451" s="46">
        <f>H451/F451</f>
        <v>891.33521106925321</v>
      </c>
      <c r="J451" s="46">
        <v>0</v>
      </c>
      <c r="K451" s="46">
        <v>0</v>
      </c>
      <c r="L451" s="46"/>
      <c r="M451" s="46">
        <v>0</v>
      </c>
      <c r="N451" s="46"/>
      <c r="O451" s="46">
        <v>1930682.43</v>
      </c>
      <c r="P451" s="46">
        <f>O451/F451</f>
        <v>679.74595289230001</v>
      </c>
      <c r="Q451" s="46">
        <v>0</v>
      </c>
      <c r="R451" s="35"/>
      <c r="S451" s="35">
        <v>0</v>
      </c>
      <c r="T451" s="35">
        <v>0</v>
      </c>
      <c r="U451" s="35">
        <v>0</v>
      </c>
      <c r="V451" s="35">
        <v>0</v>
      </c>
      <c r="W451" s="46">
        <f>G451</f>
        <v>4462341.83</v>
      </c>
      <c r="X451" s="165">
        <v>2015</v>
      </c>
      <c r="Y451" s="165">
        <v>2016</v>
      </c>
      <c r="Z451" s="176">
        <f t="shared" si="49"/>
        <v>244</v>
      </c>
    </row>
    <row r="452" spans="1:26" s="120" customFormat="1" ht="19.5" customHeight="1">
      <c r="A452" s="185" t="s">
        <v>208</v>
      </c>
      <c r="B452" s="185"/>
      <c r="C452" s="152"/>
      <c r="D452" s="165"/>
      <c r="E452" s="29">
        <f>SUM(E403:E433)</f>
        <v>144275.82</v>
      </c>
      <c r="F452" s="29">
        <f>SUM(F403:F433)</f>
        <v>106021.69999999998</v>
      </c>
      <c r="G452" s="19">
        <f>SUM(G403:G433)</f>
        <v>35265541.840000004</v>
      </c>
      <c r="H452" s="19">
        <f t="shared" ref="H452:W452" si="50">SUM(H403:H433)</f>
        <v>10635752.289999999</v>
      </c>
      <c r="I452" s="19">
        <f t="shared" si="50"/>
        <v>0</v>
      </c>
      <c r="J452" s="19">
        <f t="shared" si="50"/>
        <v>17453302.459999997</v>
      </c>
      <c r="K452" s="19">
        <f t="shared" si="50"/>
        <v>0</v>
      </c>
      <c r="L452" s="19">
        <f t="shared" si="50"/>
        <v>0</v>
      </c>
      <c r="M452" s="19">
        <f t="shared" si="50"/>
        <v>0</v>
      </c>
      <c r="N452" s="19">
        <f t="shared" si="50"/>
        <v>0</v>
      </c>
      <c r="O452" s="19">
        <f t="shared" si="50"/>
        <v>7176487.0899999999</v>
      </c>
      <c r="P452" s="19">
        <f t="shared" si="50"/>
        <v>0</v>
      </c>
      <c r="Q452" s="19">
        <f t="shared" si="50"/>
        <v>0</v>
      </c>
      <c r="R452" s="19">
        <f t="shared" si="50"/>
        <v>0</v>
      </c>
      <c r="S452" s="19">
        <f t="shared" si="50"/>
        <v>0</v>
      </c>
      <c r="T452" s="19">
        <f t="shared" si="50"/>
        <v>0</v>
      </c>
      <c r="U452" s="19">
        <f t="shared" si="50"/>
        <v>0</v>
      </c>
      <c r="V452" s="19">
        <f t="shared" si="50"/>
        <v>35265541.840000004</v>
      </c>
      <c r="W452" s="19">
        <f t="shared" si="50"/>
        <v>0</v>
      </c>
      <c r="X452" s="20" t="s">
        <v>447</v>
      </c>
      <c r="Y452" s="20" t="s">
        <v>447</v>
      </c>
      <c r="Z452" s="178"/>
    </row>
    <row r="453" spans="1:26" s="120" customFormat="1" ht="19.5" customHeight="1">
      <c r="A453" s="185" t="s">
        <v>206</v>
      </c>
      <c r="B453" s="185"/>
      <c r="C453" s="152"/>
      <c r="D453" s="163"/>
      <c r="E453" s="29">
        <f>SUM(E434:E435)</f>
        <v>5423.4</v>
      </c>
      <c r="F453" s="29">
        <f>SUM(F434:F435)</f>
        <v>4180.6000000000004</v>
      </c>
      <c r="G453" s="19">
        <f>SUM(G434:G435)</f>
        <v>12634798.710000001</v>
      </c>
      <c r="H453" s="19">
        <f t="shared" ref="H453:W453" si="51">SUM(H434:H435)</f>
        <v>4351929.2300000004</v>
      </c>
      <c r="I453" s="19">
        <f t="shared" si="51"/>
        <v>0</v>
      </c>
      <c r="J453" s="19">
        <f t="shared" si="51"/>
        <v>0</v>
      </c>
      <c r="K453" s="19">
        <f t="shared" si="51"/>
        <v>4759832.1100000003</v>
      </c>
      <c r="L453" s="19">
        <f t="shared" si="51"/>
        <v>0</v>
      </c>
      <c r="M453" s="19">
        <f t="shared" si="51"/>
        <v>73252.14</v>
      </c>
      <c r="N453" s="19">
        <f t="shared" si="51"/>
        <v>0</v>
      </c>
      <c r="O453" s="19">
        <f t="shared" si="51"/>
        <v>3271684.87</v>
      </c>
      <c r="P453" s="19">
        <f t="shared" si="51"/>
        <v>0</v>
      </c>
      <c r="Q453" s="19">
        <f t="shared" si="51"/>
        <v>178100.36</v>
      </c>
      <c r="R453" s="19">
        <f t="shared" si="51"/>
        <v>0</v>
      </c>
      <c r="S453" s="19">
        <f t="shared" si="51"/>
        <v>0</v>
      </c>
      <c r="T453" s="19">
        <f t="shared" si="51"/>
        <v>0</v>
      </c>
      <c r="U453" s="19">
        <f t="shared" si="51"/>
        <v>0</v>
      </c>
      <c r="V453" s="19">
        <f t="shared" si="51"/>
        <v>0</v>
      </c>
      <c r="W453" s="19">
        <f t="shared" si="51"/>
        <v>12634798.710000001</v>
      </c>
      <c r="X453" s="20" t="s">
        <v>447</v>
      </c>
      <c r="Y453" s="20" t="s">
        <v>447</v>
      </c>
      <c r="Z453" s="178"/>
    </row>
    <row r="454" spans="1:26" s="120" customFormat="1" ht="19.5" customHeight="1">
      <c r="A454" s="185" t="s">
        <v>207</v>
      </c>
      <c r="B454" s="185"/>
      <c r="C454" s="152"/>
      <c r="D454" s="163"/>
      <c r="E454" s="29">
        <f>SUM(E436:E451)</f>
        <v>56366.9</v>
      </c>
      <c r="F454" s="29">
        <f>SUM(F436:F451)</f>
        <v>49971.199999999997</v>
      </c>
      <c r="G454" s="19">
        <f>SUM(G436:G451)</f>
        <v>71260496.729999989</v>
      </c>
      <c r="H454" s="19">
        <f t="shared" ref="H454:W454" si="52">SUM(H436:H451)</f>
        <v>42794046.919999994</v>
      </c>
      <c r="I454" s="19">
        <f t="shared" si="52"/>
        <v>14883.979104781436</v>
      </c>
      <c r="J454" s="19">
        <f t="shared" si="52"/>
        <v>0</v>
      </c>
      <c r="K454" s="19">
        <f t="shared" si="52"/>
        <v>8161502.3399999999</v>
      </c>
      <c r="L454" s="19">
        <f t="shared" si="52"/>
        <v>3288.4399972409219</v>
      </c>
      <c r="M454" s="19">
        <f t="shared" si="52"/>
        <v>1330544.1499999999</v>
      </c>
      <c r="N454" s="19">
        <f t="shared" si="52"/>
        <v>112.25</v>
      </c>
      <c r="O454" s="19">
        <f t="shared" si="52"/>
        <v>18224303.32</v>
      </c>
      <c r="P454" s="19">
        <f t="shared" si="52"/>
        <v>7232.1934628974723</v>
      </c>
      <c r="Q454" s="19">
        <f t="shared" si="52"/>
        <v>0</v>
      </c>
      <c r="R454" s="19">
        <f t="shared" si="52"/>
        <v>0</v>
      </c>
      <c r="S454" s="19">
        <f t="shared" si="52"/>
        <v>750100</v>
      </c>
      <c r="T454" s="19">
        <f t="shared" si="52"/>
        <v>0</v>
      </c>
      <c r="U454" s="19">
        <f t="shared" si="52"/>
        <v>0</v>
      </c>
      <c r="V454" s="19">
        <f t="shared" si="52"/>
        <v>0</v>
      </c>
      <c r="W454" s="19">
        <f t="shared" si="52"/>
        <v>71260496.729999989</v>
      </c>
      <c r="X454" s="20" t="s">
        <v>447</v>
      </c>
      <c r="Y454" s="20" t="s">
        <v>447</v>
      </c>
      <c r="Z454" s="178"/>
    </row>
    <row r="455" spans="1:26" s="120" customFormat="1" ht="17.25" customHeight="1">
      <c r="A455" s="187" t="s">
        <v>254</v>
      </c>
      <c r="B455" s="187"/>
      <c r="C455" s="187"/>
      <c r="D455" s="187"/>
      <c r="E455" s="187"/>
      <c r="F455" s="187"/>
      <c r="G455" s="187"/>
      <c r="H455" s="187"/>
      <c r="I455" s="187"/>
      <c r="J455" s="187"/>
      <c r="K455" s="187"/>
      <c r="L455" s="187"/>
      <c r="M455" s="187"/>
      <c r="N455" s="187"/>
      <c r="O455" s="187"/>
      <c r="P455" s="187"/>
      <c r="Q455" s="187"/>
      <c r="R455" s="187"/>
      <c r="S455" s="187"/>
      <c r="T455" s="187"/>
      <c r="U455" s="187"/>
      <c r="V455" s="187"/>
      <c r="W455" s="187"/>
      <c r="X455" s="163"/>
      <c r="Y455" s="163"/>
      <c r="Z455" s="178"/>
    </row>
    <row r="456" spans="1:26" s="120" customFormat="1" ht="17.25" customHeight="1">
      <c r="A456" s="187" t="s">
        <v>255</v>
      </c>
      <c r="B456" s="187"/>
      <c r="C456" s="187"/>
      <c r="D456" s="187"/>
      <c r="E456" s="187"/>
      <c r="F456" s="187"/>
      <c r="G456" s="187"/>
      <c r="H456" s="187"/>
      <c r="I456" s="187"/>
      <c r="J456" s="187"/>
      <c r="K456" s="187"/>
      <c r="L456" s="187"/>
      <c r="M456" s="187"/>
      <c r="N456" s="187"/>
      <c r="O456" s="187"/>
      <c r="P456" s="187"/>
      <c r="Q456" s="187"/>
      <c r="R456" s="187"/>
      <c r="S456" s="187"/>
      <c r="T456" s="187"/>
      <c r="U456" s="187"/>
      <c r="V456" s="187"/>
      <c r="W456" s="187"/>
      <c r="X456" s="163"/>
      <c r="Y456" s="163"/>
      <c r="Z456" s="178"/>
    </row>
    <row r="457" spans="1:26" s="120" customFormat="1" ht="18" customHeight="1">
      <c r="A457" s="165">
        <f>A451+1</f>
        <v>390</v>
      </c>
      <c r="B457" s="24" t="s">
        <v>413</v>
      </c>
      <c r="C457" s="148">
        <v>1976</v>
      </c>
      <c r="D457" s="165"/>
      <c r="E457" s="49">
        <v>3972.4</v>
      </c>
      <c r="F457" s="49">
        <v>3469.5</v>
      </c>
      <c r="G457" s="46">
        <f>H457+J457+K457+M457+O457+Q457+S457</f>
        <v>786084.62</v>
      </c>
      <c r="H457" s="35">
        <v>0</v>
      </c>
      <c r="I457" s="35"/>
      <c r="J457" s="35">
        <v>0</v>
      </c>
      <c r="K457" s="35">
        <v>0</v>
      </c>
      <c r="L457" s="35">
        <f>K457/F457</f>
        <v>0</v>
      </c>
      <c r="M457" s="35">
        <v>0</v>
      </c>
      <c r="N457" s="35"/>
      <c r="O457" s="35">
        <f>ROUND(3469.5*226.57,2)</f>
        <v>786084.62</v>
      </c>
      <c r="P457" s="35">
        <f>O457/F457</f>
        <v>226.57000144112985</v>
      </c>
      <c r="Q457" s="35">
        <v>0</v>
      </c>
      <c r="R457" s="35"/>
      <c r="S457" s="35">
        <v>0</v>
      </c>
      <c r="T457" s="35">
        <v>0</v>
      </c>
      <c r="U457" s="35">
        <v>0</v>
      </c>
      <c r="V457" s="35">
        <v>38273.86</v>
      </c>
      <c r="W457" s="46">
        <v>747810.76</v>
      </c>
      <c r="X457" s="165">
        <v>2016</v>
      </c>
      <c r="Y457" s="165">
        <v>2016</v>
      </c>
      <c r="Z457" s="178">
        <f>Z451+1</f>
        <v>245</v>
      </c>
    </row>
    <row r="458" spans="1:26" s="120" customFormat="1" ht="18" customHeight="1">
      <c r="A458" s="165">
        <f>A457+1</f>
        <v>391</v>
      </c>
      <c r="B458" s="24" t="s">
        <v>412</v>
      </c>
      <c r="C458" s="148">
        <v>1975</v>
      </c>
      <c r="D458" s="165"/>
      <c r="E458" s="49">
        <v>4594.8999999999996</v>
      </c>
      <c r="F458" s="49">
        <v>3422.2</v>
      </c>
      <c r="G458" s="46">
        <f>H458+J458+K458+M458+O458+Q458+S458</f>
        <v>3178060.25</v>
      </c>
      <c r="H458" s="35">
        <v>0</v>
      </c>
      <c r="I458" s="35"/>
      <c r="J458" s="35">
        <v>0</v>
      </c>
      <c r="K458" s="35">
        <f>ROUND(3422.2*928.66,2)</f>
        <v>3178060.25</v>
      </c>
      <c r="L458" s="35">
        <f>K458/F458</f>
        <v>928.65999941558061</v>
      </c>
      <c r="M458" s="35">
        <v>0</v>
      </c>
      <c r="N458" s="35"/>
      <c r="O458" s="35">
        <v>0</v>
      </c>
      <c r="P458" s="35"/>
      <c r="Q458" s="35">
        <v>0</v>
      </c>
      <c r="R458" s="35"/>
      <c r="S458" s="35">
        <v>0</v>
      </c>
      <c r="T458" s="35">
        <v>0</v>
      </c>
      <c r="U458" s="35">
        <v>0</v>
      </c>
      <c r="V458" s="35">
        <v>154736.03</v>
      </c>
      <c r="W458" s="46">
        <v>3023324.22</v>
      </c>
      <c r="X458" s="165">
        <v>2016</v>
      </c>
      <c r="Y458" s="165">
        <v>2016</v>
      </c>
      <c r="Z458" s="178">
        <f>Z457+1</f>
        <v>246</v>
      </c>
    </row>
    <row r="459" spans="1:26" s="120" customFormat="1" ht="19.5" customHeight="1">
      <c r="A459" s="185" t="s">
        <v>208</v>
      </c>
      <c r="B459" s="185"/>
      <c r="C459" s="152"/>
      <c r="D459" s="165"/>
      <c r="E459" s="28">
        <v>0</v>
      </c>
      <c r="F459" s="28">
        <v>0</v>
      </c>
      <c r="G459" s="19">
        <v>0</v>
      </c>
      <c r="H459" s="28">
        <v>0</v>
      </c>
      <c r="I459" s="28"/>
      <c r="J459" s="28">
        <v>0</v>
      </c>
      <c r="K459" s="28">
        <v>0</v>
      </c>
      <c r="L459" s="28"/>
      <c r="M459" s="28">
        <v>0</v>
      </c>
      <c r="N459" s="28"/>
      <c r="O459" s="28">
        <v>0</v>
      </c>
      <c r="P459" s="28"/>
      <c r="Q459" s="28">
        <v>0</v>
      </c>
      <c r="R459" s="28"/>
      <c r="S459" s="28">
        <v>0</v>
      </c>
      <c r="T459" s="28">
        <v>0</v>
      </c>
      <c r="U459" s="28">
        <v>0</v>
      </c>
      <c r="V459" s="28">
        <v>0</v>
      </c>
      <c r="W459" s="19">
        <v>0</v>
      </c>
      <c r="X459" s="20" t="s">
        <v>447</v>
      </c>
      <c r="Y459" s="20" t="s">
        <v>447</v>
      </c>
      <c r="Z459" s="178"/>
    </row>
    <row r="460" spans="1:26" s="120" customFormat="1" ht="19.5" customHeight="1">
      <c r="A460" s="185" t="s">
        <v>206</v>
      </c>
      <c r="B460" s="185"/>
      <c r="C460" s="152"/>
      <c r="D460" s="163"/>
      <c r="E460" s="28">
        <v>0</v>
      </c>
      <c r="F460" s="28">
        <v>0</v>
      </c>
      <c r="G460" s="19">
        <v>0</v>
      </c>
      <c r="H460" s="28">
        <v>0</v>
      </c>
      <c r="I460" s="28"/>
      <c r="J460" s="28">
        <v>0</v>
      </c>
      <c r="K460" s="28">
        <v>0</v>
      </c>
      <c r="L460" s="28"/>
      <c r="M460" s="28">
        <v>0</v>
      </c>
      <c r="N460" s="28"/>
      <c r="O460" s="28">
        <v>0</v>
      </c>
      <c r="P460" s="28"/>
      <c r="Q460" s="28">
        <v>0</v>
      </c>
      <c r="R460" s="28"/>
      <c r="S460" s="28">
        <v>0</v>
      </c>
      <c r="T460" s="28">
        <v>0</v>
      </c>
      <c r="U460" s="28">
        <v>0</v>
      </c>
      <c r="V460" s="28">
        <v>0</v>
      </c>
      <c r="W460" s="19">
        <v>0</v>
      </c>
      <c r="X460" s="20" t="s">
        <v>447</v>
      </c>
      <c r="Y460" s="20" t="s">
        <v>447</v>
      </c>
      <c r="Z460" s="178"/>
    </row>
    <row r="461" spans="1:26" s="120" customFormat="1" ht="19.5" customHeight="1">
      <c r="A461" s="185" t="s">
        <v>207</v>
      </c>
      <c r="B461" s="185"/>
      <c r="C461" s="152"/>
      <c r="D461" s="163"/>
      <c r="E461" s="29">
        <f>SUM(E457:E458)</f>
        <v>8567.2999999999993</v>
      </c>
      <c r="F461" s="29">
        <f>SUM(F457:F458)</f>
        <v>6891.7</v>
      </c>
      <c r="G461" s="19">
        <f t="shared" ref="G461:W461" si="53">SUM(G457:G458)</f>
        <v>3964144.87</v>
      </c>
      <c r="H461" s="28">
        <f t="shared" si="53"/>
        <v>0</v>
      </c>
      <c r="I461" s="28"/>
      <c r="J461" s="28">
        <f t="shared" si="53"/>
        <v>0</v>
      </c>
      <c r="K461" s="28">
        <f t="shared" si="53"/>
        <v>3178060.25</v>
      </c>
      <c r="L461" s="28"/>
      <c r="M461" s="28">
        <f t="shared" si="53"/>
        <v>0</v>
      </c>
      <c r="N461" s="28"/>
      <c r="O461" s="28">
        <f t="shared" si="53"/>
        <v>786084.62</v>
      </c>
      <c r="P461" s="28"/>
      <c r="Q461" s="28">
        <f t="shared" si="53"/>
        <v>0</v>
      </c>
      <c r="R461" s="28"/>
      <c r="S461" s="28">
        <f t="shared" si="53"/>
        <v>0</v>
      </c>
      <c r="T461" s="28">
        <f t="shared" si="53"/>
        <v>0</v>
      </c>
      <c r="U461" s="28">
        <f t="shared" si="53"/>
        <v>0</v>
      </c>
      <c r="V461" s="28">
        <f t="shared" si="53"/>
        <v>193009.89</v>
      </c>
      <c r="W461" s="19">
        <f t="shared" si="53"/>
        <v>3771134.9800000004</v>
      </c>
      <c r="X461" s="20" t="s">
        <v>447</v>
      </c>
      <c r="Y461" s="20" t="s">
        <v>447</v>
      </c>
      <c r="Z461" s="178"/>
    </row>
    <row r="462" spans="1:26" s="120" customFormat="1" ht="17.25" customHeight="1">
      <c r="A462" s="187" t="s">
        <v>414</v>
      </c>
      <c r="B462" s="187"/>
      <c r="C462" s="187"/>
      <c r="D462" s="187"/>
      <c r="E462" s="187"/>
      <c r="F462" s="187"/>
      <c r="G462" s="187"/>
      <c r="H462" s="187"/>
      <c r="I462" s="187"/>
      <c r="J462" s="187"/>
      <c r="K462" s="187"/>
      <c r="L462" s="187"/>
      <c r="M462" s="187"/>
      <c r="N462" s="187"/>
      <c r="O462" s="187"/>
      <c r="P462" s="187"/>
      <c r="Q462" s="187"/>
      <c r="R462" s="187"/>
      <c r="S462" s="187"/>
      <c r="T462" s="187"/>
      <c r="U462" s="187"/>
      <c r="V462" s="187"/>
      <c r="W462" s="187"/>
      <c r="X462" s="163"/>
      <c r="Y462" s="163"/>
      <c r="Z462" s="178"/>
    </row>
    <row r="463" spans="1:26" s="120" customFormat="1" ht="18" customHeight="1">
      <c r="A463" s="165">
        <f>A458+1</f>
        <v>392</v>
      </c>
      <c r="B463" s="24" t="s">
        <v>257</v>
      </c>
      <c r="C463" s="148" t="s">
        <v>19</v>
      </c>
      <c r="D463" s="165"/>
      <c r="E463" s="49">
        <v>460.8</v>
      </c>
      <c r="F463" s="44">
        <v>415.1</v>
      </c>
      <c r="G463" s="46">
        <f>H463+J463+K463+M463+O463+Q463+S463</f>
        <v>1478698.28</v>
      </c>
      <c r="H463" s="35">
        <v>0</v>
      </c>
      <c r="I463" s="35"/>
      <c r="J463" s="35">
        <v>0</v>
      </c>
      <c r="K463" s="35">
        <v>1478698.28</v>
      </c>
      <c r="L463" s="35">
        <f>K463/F463</f>
        <v>3562.2700072271741</v>
      </c>
      <c r="M463" s="35">
        <v>0</v>
      </c>
      <c r="N463" s="35"/>
      <c r="O463" s="35">
        <v>0</v>
      </c>
      <c r="P463" s="35"/>
      <c r="Q463" s="35">
        <v>0</v>
      </c>
      <c r="R463" s="35"/>
      <c r="S463" s="35">
        <v>0</v>
      </c>
      <c r="T463" s="35">
        <v>0</v>
      </c>
      <c r="U463" s="35">
        <v>0</v>
      </c>
      <c r="V463" s="35">
        <v>0</v>
      </c>
      <c r="W463" s="46">
        <f>G463</f>
        <v>1478698.28</v>
      </c>
      <c r="X463" s="165">
        <v>2015</v>
      </c>
      <c r="Y463" s="165">
        <v>2016</v>
      </c>
      <c r="Z463" s="178">
        <f>Z458+1</f>
        <v>247</v>
      </c>
    </row>
    <row r="464" spans="1:26" s="120" customFormat="1" ht="19.5" customHeight="1">
      <c r="A464" s="185" t="s">
        <v>208</v>
      </c>
      <c r="B464" s="185"/>
      <c r="C464" s="152"/>
      <c r="D464" s="165"/>
      <c r="E464" s="29">
        <v>0</v>
      </c>
      <c r="F464" s="29">
        <v>0</v>
      </c>
      <c r="G464" s="19">
        <v>0</v>
      </c>
      <c r="H464" s="28">
        <v>0</v>
      </c>
      <c r="I464" s="28"/>
      <c r="J464" s="28">
        <v>0</v>
      </c>
      <c r="K464" s="28">
        <v>0</v>
      </c>
      <c r="L464" s="28"/>
      <c r="M464" s="28">
        <v>0</v>
      </c>
      <c r="N464" s="28"/>
      <c r="O464" s="28">
        <v>0</v>
      </c>
      <c r="P464" s="28"/>
      <c r="Q464" s="28">
        <v>0</v>
      </c>
      <c r="R464" s="28"/>
      <c r="S464" s="28">
        <v>0</v>
      </c>
      <c r="T464" s="28">
        <v>0</v>
      </c>
      <c r="U464" s="28">
        <v>0</v>
      </c>
      <c r="V464" s="28">
        <v>0</v>
      </c>
      <c r="W464" s="19">
        <v>0</v>
      </c>
      <c r="X464" s="20" t="s">
        <v>447</v>
      </c>
      <c r="Y464" s="20" t="s">
        <v>447</v>
      </c>
      <c r="Z464" s="178"/>
    </row>
    <row r="465" spans="1:26" s="120" customFormat="1" ht="19.5" customHeight="1">
      <c r="A465" s="185" t="s">
        <v>206</v>
      </c>
      <c r="B465" s="185"/>
      <c r="C465" s="152"/>
      <c r="D465" s="163"/>
      <c r="E465" s="29">
        <v>0</v>
      </c>
      <c r="F465" s="29">
        <v>0</v>
      </c>
      <c r="G465" s="19">
        <v>0</v>
      </c>
      <c r="H465" s="28">
        <v>0</v>
      </c>
      <c r="I465" s="28"/>
      <c r="J465" s="28">
        <v>0</v>
      </c>
      <c r="K465" s="28">
        <v>0</v>
      </c>
      <c r="L465" s="28"/>
      <c r="M465" s="28">
        <v>0</v>
      </c>
      <c r="N465" s="28"/>
      <c r="O465" s="28">
        <v>0</v>
      </c>
      <c r="P465" s="28"/>
      <c r="Q465" s="28">
        <v>0</v>
      </c>
      <c r="R465" s="28"/>
      <c r="S465" s="28">
        <v>0</v>
      </c>
      <c r="T465" s="28">
        <v>0</v>
      </c>
      <c r="U465" s="28">
        <v>0</v>
      </c>
      <c r="V465" s="28">
        <v>0</v>
      </c>
      <c r="W465" s="19">
        <v>0</v>
      </c>
      <c r="X465" s="20" t="s">
        <v>447</v>
      </c>
      <c r="Y465" s="20" t="s">
        <v>447</v>
      </c>
      <c r="Z465" s="178"/>
    </row>
    <row r="466" spans="1:26" s="120" customFormat="1" ht="19.5" customHeight="1">
      <c r="A466" s="185" t="s">
        <v>207</v>
      </c>
      <c r="B466" s="185"/>
      <c r="C466" s="152"/>
      <c r="D466" s="163"/>
      <c r="E466" s="29">
        <f>SUM(E463)</f>
        <v>460.8</v>
      </c>
      <c r="F466" s="29">
        <f>SUM(F463)</f>
        <v>415.1</v>
      </c>
      <c r="G466" s="19">
        <f t="shared" ref="G466:W466" si="54">SUM(G463)</f>
        <v>1478698.28</v>
      </c>
      <c r="H466" s="28">
        <f t="shared" si="54"/>
        <v>0</v>
      </c>
      <c r="I466" s="28"/>
      <c r="J466" s="28">
        <f t="shared" si="54"/>
        <v>0</v>
      </c>
      <c r="K466" s="28">
        <f t="shared" si="54"/>
        <v>1478698.28</v>
      </c>
      <c r="L466" s="28"/>
      <c r="M466" s="28">
        <f t="shared" si="54"/>
        <v>0</v>
      </c>
      <c r="N466" s="28"/>
      <c r="O466" s="28">
        <f t="shared" si="54"/>
        <v>0</v>
      </c>
      <c r="P466" s="28"/>
      <c r="Q466" s="28">
        <f t="shared" si="54"/>
        <v>0</v>
      </c>
      <c r="R466" s="28"/>
      <c r="S466" s="28">
        <f t="shared" si="54"/>
        <v>0</v>
      </c>
      <c r="T466" s="28">
        <f t="shared" si="54"/>
        <v>0</v>
      </c>
      <c r="U466" s="28">
        <f t="shared" si="54"/>
        <v>0</v>
      </c>
      <c r="V466" s="28">
        <f t="shared" si="54"/>
        <v>0</v>
      </c>
      <c r="W466" s="19">
        <f t="shared" si="54"/>
        <v>1478698.28</v>
      </c>
      <c r="X466" s="20" t="s">
        <v>447</v>
      </c>
      <c r="Y466" s="20" t="s">
        <v>447</v>
      </c>
      <c r="Z466" s="178"/>
    </row>
    <row r="467" spans="1:26" s="120" customFormat="1" ht="17.25" customHeight="1">
      <c r="A467" s="187" t="s">
        <v>258</v>
      </c>
      <c r="B467" s="187"/>
      <c r="C467" s="187"/>
      <c r="D467" s="187"/>
      <c r="E467" s="187"/>
      <c r="F467" s="187"/>
      <c r="G467" s="187"/>
      <c r="H467" s="187"/>
      <c r="I467" s="187"/>
      <c r="J467" s="187"/>
      <c r="K467" s="187"/>
      <c r="L467" s="187"/>
      <c r="M467" s="187"/>
      <c r="N467" s="187"/>
      <c r="O467" s="187"/>
      <c r="P467" s="187"/>
      <c r="Q467" s="187"/>
      <c r="R467" s="187"/>
      <c r="S467" s="187"/>
      <c r="T467" s="187"/>
      <c r="U467" s="187"/>
      <c r="V467" s="187"/>
      <c r="W467" s="187"/>
      <c r="X467" s="163"/>
      <c r="Y467" s="163"/>
      <c r="Z467" s="178"/>
    </row>
    <row r="468" spans="1:26" s="122" customFormat="1" ht="18" customHeight="1">
      <c r="A468" s="165">
        <f>A463+1</f>
        <v>393</v>
      </c>
      <c r="B468" s="24" t="s">
        <v>259</v>
      </c>
      <c r="C468" s="148" t="s">
        <v>260</v>
      </c>
      <c r="D468" s="165"/>
      <c r="E468" s="49">
        <v>438.1</v>
      </c>
      <c r="F468" s="44">
        <v>388.8</v>
      </c>
      <c r="G468" s="46">
        <f>SUM(H468:S468)</f>
        <v>1074900.25</v>
      </c>
      <c r="H468" s="35">
        <v>0</v>
      </c>
      <c r="I468" s="35"/>
      <c r="J468" s="35">
        <v>0</v>
      </c>
      <c r="K468" s="35">
        <v>1074900.25</v>
      </c>
      <c r="L468" s="35"/>
      <c r="M468" s="35">
        <v>0</v>
      </c>
      <c r="N468" s="35"/>
      <c r="O468" s="35">
        <v>0</v>
      </c>
      <c r="P468" s="35"/>
      <c r="Q468" s="35">
        <v>0</v>
      </c>
      <c r="R468" s="35"/>
      <c r="S468" s="35">
        <v>0</v>
      </c>
      <c r="T468" s="35">
        <v>0</v>
      </c>
      <c r="U468" s="35">
        <v>0</v>
      </c>
      <c r="V468" s="35">
        <v>0</v>
      </c>
      <c r="W468" s="46">
        <f>G468</f>
        <v>1074900.25</v>
      </c>
      <c r="X468" s="165">
        <v>2015</v>
      </c>
      <c r="Y468" s="165">
        <v>2015</v>
      </c>
      <c r="Z468" s="176"/>
    </row>
    <row r="469" spans="1:26" s="122" customFormat="1" ht="18" customHeight="1">
      <c r="A469" s="165">
        <f>A468+1</f>
        <v>394</v>
      </c>
      <c r="B469" s="24" t="s">
        <v>261</v>
      </c>
      <c r="C469" s="148" t="s">
        <v>262</v>
      </c>
      <c r="D469" s="165"/>
      <c r="E469" s="49">
        <v>361.5</v>
      </c>
      <c r="F469" s="44">
        <v>331.8</v>
      </c>
      <c r="G469" s="46">
        <f>SUM(H469:S469)</f>
        <v>882035</v>
      </c>
      <c r="H469" s="35">
        <v>0</v>
      </c>
      <c r="I469" s="35"/>
      <c r="J469" s="35">
        <v>0</v>
      </c>
      <c r="K469" s="35">
        <v>882035</v>
      </c>
      <c r="L469" s="35"/>
      <c r="M469" s="35">
        <v>0</v>
      </c>
      <c r="N469" s="35"/>
      <c r="O469" s="35">
        <v>0</v>
      </c>
      <c r="P469" s="35"/>
      <c r="Q469" s="35">
        <v>0</v>
      </c>
      <c r="R469" s="35"/>
      <c r="S469" s="35">
        <v>0</v>
      </c>
      <c r="T469" s="35">
        <v>0</v>
      </c>
      <c r="U469" s="35">
        <v>0</v>
      </c>
      <c r="V469" s="35">
        <v>0</v>
      </c>
      <c r="W469" s="46">
        <f>G469</f>
        <v>882035</v>
      </c>
      <c r="X469" s="165">
        <v>2015</v>
      </c>
      <c r="Y469" s="165">
        <v>2015</v>
      </c>
      <c r="Z469" s="176"/>
    </row>
    <row r="470" spans="1:26" s="122" customFormat="1" ht="18" customHeight="1">
      <c r="A470" s="165">
        <f>A469+1</f>
        <v>395</v>
      </c>
      <c r="B470" s="24" t="s">
        <v>263</v>
      </c>
      <c r="C470" s="148" t="s">
        <v>251</v>
      </c>
      <c r="D470" s="165"/>
      <c r="E470" s="49">
        <v>386.7</v>
      </c>
      <c r="F470" s="44">
        <v>336.5</v>
      </c>
      <c r="G470" s="46">
        <f>SUM(H470:S470)</f>
        <v>901944.23</v>
      </c>
      <c r="H470" s="35">
        <v>0</v>
      </c>
      <c r="I470" s="35"/>
      <c r="J470" s="35">
        <v>0</v>
      </c>
      <c r="K470" s="35">
        <v>901944.23</v>
      </c>
      <c r="L470" s="35"/>
      <c r="M470" s="35">
        <v>0</v>
      </c>
      <c r="N470" s="35"/>
      <c r="O470" s="35">
        <v>0</v>
      </c>
      <c r="P470" s="35"/>
      <c r="Q470" s="35">
        <v>0</v>
      </c>
      <c r="R470" s="35"/>
      <c r="S470" s="35">
        <v>0</v>
      </c>
      <c r="T470" s="35">
        <v>0</v>
      </c>
      <c r="U470" s="35">
        <v>0</v>
      </c>
      <c r="V470" s="35">
        <v>0</v>
      </c>
      <c r="W470" s="46">
        <f>G470</f>
        <v>901944.23</v>
      </c>
      <c r="X470" s="165">
        <v>2015</v>
      </c>
      <c r="Y470" s="165">
        <v>2015</v>
      </c>
      <c r="Z470" s="176"/>
    </row>
    <row r="471" spans="1:26" s="122" customFormat="1" ht="18" customHeight="1">
      <c r="A471" s="165">
        <f>A470+1</f>
        <v>396</v>
      </c>
      <c r="B471" s="24" t="s">
        <v>264</v>
      </c>
      <c r="C471" s="148" t="s">
        <v>251</v>
      </c>
      <c r="D471" s="165"/>
      <c r="E471" s="49">
        <v>366.5</v>
      </c>
      <c r="F471" s="44">
        <v>336.4</v>
      </c>
      <c r="G471" s="46">
        <f>SUM(H471:S471)</f>
        <v>854829.96</v>
      </c>
      <c r="H471" s="35">
        <v>0</v>
      </c>
      <c r="I471" s="35"/>
      <c r="J471" s="35">
        <v>0</v>
      </c>
      <c r="K471" s="35">
        <v>854829.96</v>
      </c>
      <c r="L471" s="35"/>
      <c r="M471" s="35">
        <v>0</v>
      </c>
      <c r="N471" s="35"/>
      <c r="O471" s="35">
        <v>0</v>
      </c>
      <c r="P471" s="35"/>
      <c r="Q471" s="35">
        <v>0</v>
      </c>
      <c r="R471" s="35"/>
      <c r="S471" s="35">
        <v>0</v>
      </c>
      <c r="T471" s="35">
        <v>0</v>
      </c>
      <c r="U471" s="35">
        <v>0</v>
      </c>
      <c r="V471" s="35">
        <v>0</v>
      </c>
      <c r="W471" s="46">
        <f>G471</f>
        <v>854829.96</v>
      </c>
      <c r="X471" s="165">
        <v>2015</v>
      </c>
      <c r="Y471" s="165">
        <v>2015</v>
      </c>
      <c r="Z471" s="176"/>
    </row>
    <row r="472" spans="1:26" s="122" customFormat="1" ht="18" customHeight="1">
      <c r="A472" s="165">
        <f>A471+1</f>
        <v>397</v>
      </c>
      <c r="B472" s="24" t="s">
        <v>459</v>
      </c>
      <c r="C472" s="148" t="s">
        <v>340</v>
      </c>
      <c r="D472" s="165"/>
      <c r="E472" s="26">
        <v>366.7</v>
      </c>
      <c r="F472" s="26">
        <v>337.7</v>
      </c>
      <c r="G472" s="46">
        <f>H472+J472+K472+M472+O472+Q472+S472</f>
        <v>1202978.58</v>
      </c>
      <c r="H472" s="35">
        <v>0</v>
      </c>
      <c r="I472" s="35"/>
      <c r="J472" s="35">
        <v>0</v>
      </c>
      <c r="K472" s="35">
        <v>1202978.58</v>
      </c>
      <c r="L472" s="35">
        <f>K472/F472</f>
        <v>3562.2700029612083</v>
      </c>
      <c r="M472" s="35">
        <v>0</v>
      </c>
      <c r="N472" s="35"/>
      <c r="O472" s="35">
        <v>0</v>
      </c>
      <c r="P472" s="35"/>
      <c r="Q472" s="35">
        <v>0</v>
      </c>
      <c r="R472" s="35"/>
      <c r="S472" s="35">
        <v>0</v>
      </c>
      <c r="T472" s="35">
        <v>0</v>
      </c>
      <c r="U472" s="35">
        <v>0</v>
      </c>
      <c r="V472" s="35">
        <v>0</v>
      </c>
      <c r="W472" s="46">
        <f>G472</f>
        <v>1202978.58</v>
      </c>
      <c r="X472" s="165">
        <v>2016</v>
      </c>
      <c r="Y472" s="165">
        <v>2016</v>
      </c>
      <c r="Z472" s="176">
        <f>Z463+1</f>
        <v>248</v>
      </c>
    </row>
    <row r="473" spans="1:26" s="120" customFormat="1" ht="19.5" customHeight="1">
      <c r="A473" s="185" t="s">
        <v>208</v>
      </c>
      <c r="B473" s="185"/>
      <c r="C473" s="152"/>
      <c r="D473" s="165"/>
      <c r="E473" s="29">
        <v>0</v>
      </c>
      <c r="F473" s="29">
        <v>0</v>
      </c>
      <c r="G473" s="19">
        <v>0</v>
      </c>
      <c r="H473" s="28">
        <v>0</v>
      </c>
      <c r="I473" s="28"/>
      <c r="J473" s="28">
        <v>0</v>
      </c>
      <c r="K473" s="28">
        <v>0</v>
      </c>
      <c r="L473" s="28"/>
      <c r="M473" s="28">
        <v>0</v>
      </c>
      <c r="N473" s="28"/>
      <c r="O473" s="28">
        <v>0</v>
      </c>
      <c r="P473" s="28"/>
      <c r="Q473" s="28">
        <v>0</v>
      </c>
      <c r="R473" s="28"/>
      <c r="S473" s="28">
        <v>0</v>
      </c>
      <c r="T473" s="28">
        <v>0</v>
      </c>
      <c r="U473" s="28">
        <v>0</v>
      </c>
      <c r="V473" s="28">
        <v>0</v>
      </c>
      <c r="W473" s="19">
        <v>0</v>
      </c>
      <c r="X473" s="20" t="s">
        <v>447</v>
      </c>
      <c r="Y473" s="20" t="s">
        <v>447</v>
      </c>
      <c r="Z473" s="178"/>
    </row>
    <row r="474" spans="1:26" s="120" customFormat="1" ht="19.5" customHeight="1">
      <c r="A474" s="185" t="s">
        <v>206</v>
      </c>
      <c r="B474" s="185"/>
      <c r="C474" s="152"/>
      <c r="D474" s="163"/>
      <c r="E474" s="29">
        <f t="shared" ref="E474:K474" si="55">SUM(E468:E471)</f>
        <v>1552.8</v>
      </c>
      <c r="F474" s="29">
        <f t="shared" si="55"/>
        <v>1393.5</v>
      </c>
      <c r="G474" s="19">
        <f t="shared" si="55"/>
        <v>3713709.44</v>
      </c>
      <c r="H474" s="28">
        <f t="shared" si="55"/>
        <v>0</v>
      </c>
      <c r="I474" s="28"/>
      <c r="J474" s="28">
        <f t="shared" si="55"/>
        <v>0</v>
      </c>
      <c r="K474" s="28">
        <f t="shared" si="55"/>
        <v>3713709.44</v>
      </c>
      <c r="L474" s="28"/>
      <c r="M474" s="28">
        <v>0</v>
      </c>
      <c r="N474" s="28"/>
      <c r="O474" s="28">
        <v>0</v>
      </c>
      <c r="P474" s="28"/>
      <c r="Q474" s="28">
        <v>0</v>
      </c>
      <c r="R474" s="28"/>
      <c r="S474" s="35">
        <v>0</v>
      </c>
      <c r="T474" s="28">
        <v>0</v>
      </c>
      <c r="U474" s="28">
        <v>0</v>
      </c>
      <c r="V474" s="28">
        <v>0</v>
      </c>
      <c r="W474" s="19">
        <f>SUM(W468:W471)</f>
        <v>3713709.44</v>
      </c>
      <c r="X474" s="20" t="s">
        <v>447</v>
      </c>
      <c r="Y474" s="20" t="s">
        <v>447</v>
      </c>
      <c r="Z474" s="178"/>
    </row>
    <row r="475" spans="1:26" s="120" customFormat="1" ht="19.5" customHeight="1">
      <c r="A475" s="185" t="s">
        <v>207</v>
      </c>
      <c r="B475" s="185"/>
      <c r="C475" s="152"/>
      <c r="D475" s="163"/>
      <c r="E475" s="29">
        <f>SUM(E472)</f>
        <v>366.7</v>
      </c>
      <c r="F475" s="29">
        <f>SUM(F472)</f>
        <v>337.7</v>
      </c>
      <c r="G475" s="19">
        <f t="shared" ref="G475:W475" si="56">SUM(G472)</f>
        <v>1202978.58</v>
      </c>
      <c r="H475" s="28">
        <f t="shared" si="56"/>
        <v>0</v>
      </c>
      <c r="I475" s="28"/>
      <c r="J475" s="28">
        <f t="shared" si="56"/>
        <v>0</v>
      </c>
      <c r="K475" s="28">
        <f t="shared" si="56"/>
        <v>1202978.58</v>
      </c>
      <c r="L475" s="28"/>
      <c r="M475" s="28">
        <f t="shared" si="56"/>
        <v>0</v>
      </c>
      <c r="N475" s="28"/>
      <c r="O475" s="28">
        <f t="shared" si="56"/>
        <v>0</v>
      </c>
      <c r="P475" s="28"/>
      <c r="Q475" s="28">
        <f t="shared" si="56"/>
        <v>0</v>
      </c>
      <c r="R475" s="28"/>
      <c r="S475" s="28">
        <f t="shared" si="56"/>
        <v>0</v>
      </c>
      <c r="T475" s="28">
        <f t="shared" si="56"/>
        <v>0</v>
      </c>
      <c r="U475" s="28">
        <f t="shared" si="56"/>
        <v>0</v>
      </c>
      <c r="V475" s="28">
        <f t="shared" si="56"/>
        <v>0</v>
      </c>
      <c r="W475" s="19">
        <f t="shared" si="56"/>
        <v>1202978.58</v>
      </c>
      <c r="X475" s="20" t="s">
        <v>447</v>
      </c>
      <c r="Y475" s="20" t="s">
        <v>447</v>
      </c>
      <c r="Z475" s="178"/>
    </row>
    <row r="476" spans="1:26" s="120" customFormat="1" ht="17.25" customHeight="1">
      <c r="A476" s="187" t="s">
        <v>265</v>
      </c>
      <c r="B476" s="187"/>
      <c r="C476" s="187"/>
      <c r="D476" s="187"/>
      <c r="E476" s="187"/>
      <c r="F476" s="187"/>
      <c r="G476" s="187"/>
      <c r="H476" s="187"/>
      <c r="I476" s="187"/>
      <c r="J476" s="187"/>
      <c r="K476" s="187"/>
      <c r="L476" s="187"/>
      <c r="M476" s="187"/>
      <c r="N476" s="187"/>
      <c r="O476" s="187"/>
      <c r="P476" s="187"/>
      <c r="Q476" s="187"/>
      <c r="R476" s="187"/>
      <c r="S476" s="187"/>
      <c r="T476" s="187"/>
      <c r="U476" s="187"/>
      <c r="V476" s="187"/>
      <c r="W476" s="187"/>
      <c r="X476" s="163"/>
      <c r="Y476" s="163"/>
      <c r="Z476" s="178"/>
    </row>
    <row r="477" spans="1:26" s="122" customFormat="1" ht="18" customHeight="1">
      <c r="A477" s="165">
        <f>A472+1</f>
        <v>398</v>
      </c>
      <c r="B477" s="79" t="s">
        <v>423</v>
      </c>
      <c r="C477" s="149" t="s">
        <v>272</v>
      </c>
      <c r="D477" s="80"/>
      <c r="E477" s="49">
        <v>765.5</v>
      </c>
      <c r="F477" s="49">
        <v>700.9</v>
      </c>
      <c r="G477" s="46">
        <f>SUM(H477:S477)</f>
        <v>1804659.85</v>
      </c>
      <c r="H477" s="35">
        <v>0</v>
      </c>
      <c r="I477" s="35"/>
      <c r="J477" s="35">
        <v>0</v>
      </c>
      <c r="K477" s="35">
        <v>1804659.85</v>
      </c>
      <c r="L477" s="35"/>
      <c r="M477" s="35">
        <v>0</v>
      </c>
      <c r="N477" s="35"/>
      <c r="O477" s="35">
        <v>0</v>
      </c>
      <c r="P477" s="35"/>
      <c r="Q477" s="35">
        <v>0</v>
      </c>
      <c r="R477" s="35"/>
      <c r="S477" s="35">
        <v>0</v>
      </c>
      <c r="T477" s="35">
        <v>0</v>
      </c>
      <c r="U477" s="35">
        <v>0</v>
      </c>
      <c r="V477" s="35">
        <v>0</v>
      </c>
      <c r="W477" s="46">
        <f>G477</f>
        <v>1804659.85</v>
      </c>
      <c r="X477" s="165">
        <v>2015</v>
      </c>
      <c r="Y477" s="165">
        <v>2015</v>
      </c>
      <c r="Z477" s="176"/>
    </row>
    <row r="478" spans="1:26" s="122" customFormat="1" ht="18" customHeight="1">
      <c r="A478" s="165">
        <f>A477+1</f>
        <v>399</v>
      </c>
      <c r="B478" s="79" t="s">
        <v>424</v>
      </c>
      <c r="C478" s="149" t="s">
        <v>273</v>
      </c>
      <c r="D478" s="80"/>
      <c r="E478" s="49">
        <v>712.3</v>
      </c>
      <c r="F478" s="49">
        <v>656.1</v>
      </c>
      <c r="G478" s="46">
        <f>SUM(H478:S478)</f>
        <v>1670268</v>
      </c>
      <c r="H478" s="35">
        <v>0</v>
      </c>
      <c r="I478" s="35"/>
      <c r="J478" s="35">
        <v>0</v>
      </c>
      <c r="K478" s="35">
        <v>1670268</v>
      </c>
      <c r="L478" s="35"/>
      <c r="M478" s="35">
        <v>0</v>
      </c>
      <c r="N478" s="35"/>
      <c r="O478" s="35">
        <v>0</v>
      </c>
      <c r="P478" s="35"/>
      <c r="Q478" s="35">
        <v>0</v>
      </c>
      <c r="R478" s="35"/>
      <c r="S478" s="35">
        <v>0</v>
      </c>
      <c r="T478" s="35">
        <v>0</v>
      </c>
      <c r="U478" s="35">
        <v>0</v>
      </c>
      <c r="V478" s="35">
        <v>0</v>
      </c>
      <c r="W478" s="46">
        <f>G478</f>
        <v>1670268</v>
      </c>
      <c r="X478" s="165">
        <v>2015</v>
      </c>
      <c r="Y478" s="165">
        <v>2015</v>
      </c>
      <c r="Z478" s="176"/>
    </row>
    <row r="479" spans="1:26" s="122" customFormat="1" ht="18" customHeight="1">
      <c r="A479" s="165">
        <f t="shared" ref="A479:A508" si="57">A478+1</f>
        <v>400</v>
      </c>
      <c r="B479" s="79" t="s">
        <v>266</v>
      </c>
      <c r="C479" s="149" t="s">
        <v>226</v>
      </c>
      <c r="D479" s="80"/>
      <c r="E479" s="49">
        <v>699</v>
      </c>
      <c r="F479" s="49">
        <v>624.79999999999995</v>
      </c>
      <c r="G479" s="46">
        <f>SUM(H479:S479)</f>
        <v>1630357.96</v>
      </c>
      <c r="H479" s="35">
        <v>0</v>
      </c>
      <c r="I479" s="35"/>
      <c r="J479" s="35">
        <v>0</v>
      </c>
      <c r="K479" s="35">
        <v>1630357.96</v>
      </c>
      <c r="L479" s="35"/>
      <c r="M479" s="35">
        <v>0</v>
      </c>
      <c r="N479" s="35"/>
      <c r="O479" s="35">
        <v>0</v>
      </c>
      <c r="P479" s="35"/>
      <c r="Q479" s="35">
        <v>0</v>
      </c>
      <c r="R479" s="35"/>
      <c r="S479" s="35">
        <v>0</v>
      </c>
      <c r="T479" s="35">
        <v>0</v>
      </c>
      <c r="U479" s="35">
        <v>0</v>
      </c>
      <c r="V479" s="35">
        <v>0</v>
      </c>
      <c r="W479" s="46">
        <f>G479</f>
        <v>1630357.96</v>
      </c>
      <c r="X479" s="165">
        <v>2015</v>
      </c>
      <c r="Y479" s="165">
        <v>2015</v>
      </c>
      <c r="Z479" s="176"/>
    </row>
    <row r="480" spans="1:26" s="122" customFormat="1" ht="18" customHeight="1">
      <c r="A480" s="165">
        <f t="shared" si="57"/>
        <v>401</v>
      </c>
      <c r="B480" s="79" t="s">
        <v>270</v>
      </c>
      <c r="C480" s="149" t="s">
        <v>234</v>
      </c>
      <c r="D480" s="80"/>
      <c r="E480" s="49">
        <v>514.1</v>
      </c>
      <c r="F480" s="49">
        <v>449.8</v>
      </c>
      <c r="G480" s="46">
        <f>SUM(H480:S480)</f>
        <v>1205510</v>
      </c>
      <c r="H480" s="35">
        <v>0</v>
      </c>
      <c r="I480" s="35"/>
      <c r="J480" s="35">
        <v>0</v>
      </c>
      <c r="K480" s="35">
        <v>1205510</v>
      </c>
      <c r="L480" s="35"/>
      <c r="M480" s="35">
        <v>0</v>
      </c>
      <c r="N480" s="35"/>
      <c r="O480" s="35">
        <v>0</v>
      </c>
      <c r="P480" s="35"/>
      <c r="Q480" s="35">
        <v>0</v>
      </c>
      <c r="R480" s="35"/>
      <c r="S480" s="35">
        <v>0</v>
      </c>
      <c r="T480" s="35">
        <v>0</v>
      </c>
      <c r="U480" s="35">
        <v>0</v>
      </c>
      <c r="V480" s="35">
        <v>0</v>
      </c>
      <c r="W480" s="46">
        <f>G480</f>
        <v>1205510</v>
      </c>
      <c r="X480" s="165">
        <v>2015</v>
      </c>
      <c r="Y480" s="165">
        <v>2015</v>
      </c>
      <c r="Z480" s="176"/>
    </row>
    <row r="481" spans="1:26" s="122" customFormat="1" ht="18" customHeight="1">
      <c r="A481" s="165">
        <f t="shared" si="57"/>
        <v>402</v>
      </c>
      <c r="B481" s="79" t="s">
        <v>267</v>
      </c>
      <c r="C481" s="149" t="s">
        <v>234</v>
      </c>
      <c r="D481" s="80"/>
      <c r="E481" s="49">
        <v>705.6</v>
      </c>
      <c r="F481" s="49">
        <v>643.4</v>
      </c>
      <c r="G481" s="46">
        <f>SUM(H481:S481)</f>
        <v>1672293.7</v>
      </c>
      <c r="H481" s="35">
        <v>0</v>
      </c>
      <c r="I481" s="35"/>
      <c r="J481" s="35">
        <v>0</v>
      </c>
      <c r="K481" s="35">
        <v>1672293.7</v>
      </c>
      <c r="L481" s="35"/>
      <c r="M481" s="35">
        <v>0</v>
      </c>
      <c r="N481" s="35"/>
      <c r="O481" s="35">
        <v>0</v>
      </c>
      <c r="P481" s="35"/>
      <c r="Q481" s="35">
        <v>0</v>
      </c>
      <c r="R481" s="35"/>
      <c r="S481" s="35">
        <v>0</v>
      </c>
      <c r="T481" s="35">
        <v>0</v>
      </c>
      <c r="U481" s="35">
        <v>0</v>
      </c>
      <c r="V481" s="35">
        <v>0</v>
      </c>
      <c r="W481" s="46">
        <f>G481</f>
        <v>1672293.7</v>
      </c>
      <c r="X481" s="165">
        <v>2015</v>
      </c>
      <c r="Y481" s="165">
        <v>2015</v>
      </c>
      <c r="Z481" s="176"/>
    </row>
    <row r="482" spans="1:26" s="122" customFormat="1" ht="18" customHeight="1">
      <c r="A482" s="165">
        <f t="shared" si="57"/>
        <v>403</v>
      </c>
      <c r="B482" s="79" t="s">
        <v>283</v>
      </c>
      <c r="C482" s="149" t="s">
        <v>228</v>
      </c>
      <c r="D482" s="80"/>
      <c r="E482" s="49">
        <v>536.70000000000005</v>
      </c>
      <c r="F482" s="49">
        <v>486.2</v>
      </c>
      <c r="G482" s="46">
        <f>SUM(H482:S482)</f>
        <v>1212925</v>
      </c>
      <c r="H482" s="35">
        <v>0</v>
      </c>
      <c r="I482" s="35"/>
      <c r="J482" s="35">
        <v>0</v>
      </c>
      <c r="K482" s="35">
        <v>1212925</v>
      </c>
      <c r="L482" s="35"/>
      <c r="M482" s="35">
        <v>0</v>
      </c>
      <c r="N482" s="35"/>
      <c r="O482" s="35">
        <v>0</v>
      </c>
      <c r="P482" s="35"/>
      <c r="Q482" s="35">
        <v>0</v>
      </c>
      <c r="R482" s="35"/>
      <c r="S482" s="35">
        <v>0</v>
      </c>
      <c r="T482" s="35">
        <v>0</v>
      </c>
      <c r="U482" s="35">
        <v>0</v>
      </c>
      <c r="V482" s="35">
        <v>0</v>
      </c>
      <c r="W482" s="46">
        <f>G482</f>
        <v>1212925</v>
      </c>
      <c r="X482" s="165">
        <v>2015</v>
      </c>
      <c r="Y482" s="165">
        <v>2015</v>
      </c>
      <c r="Z482" s="176"/>
    </row>
    <row r="483" spans="1:26" s="122" customFormat="1" ht="18" customHeight="1">
      <c r="A483" s="165">
        <f t="shared" si="57"/>
        <v>404</v>
      </c>
      <c r="B483" s="79" t="s">
        <v>286</v>
      </c>
      <c r="C483" s="149" t="s">
        <v>277</v>
      </c>
      <c r="D483" s="80"/>
      <c r="E483" s="49">
        <v>525.29999999999995</v>
      </c>
      <c r="F483" s="49">
        <v>437.3</v>
      </c>
      <c r="G483" s="46">
        <f>SUM(H483:S483)</f>
        <v>1187753</v>
      </c>
      <c r="H483" s="35">
        <v>0</v>
      </c>
      <c r="I483" s="35"/>
      <c r="J483" s="35">
        <v>0</v>
      </c>
      <c r="K483" s="35">
        <v>1187753</v>
      </c>
      <c r="L483" s="35"/>
      <c r="M483" s="35">
        <v>0</v>
      </c>
      <c r="N483" s="35"/>
      <c r="O483" s="35">
        <v>0</v>
      </c>
      <c r="P483" s="35"/>
      <c r="Q483" s="35">
        <v>0</v>
      </c>
      <c r="R483" s="35"/>
      <c r="S483" s="35">
        <v>0</v>
      </c>
      <c r="T483" s="35">
        <v>0</v>
      </c>
      <c r="U483" s="35">
        <v>0</v>
      </c>
      <c r="V483" s="35">
        <v>0</v>
      </c>
      <c r="W483" s="46">
        <f>G483</f>
        <v>1187753</v>
      </c>
      <c r="X483" s="165">
        <v>2015</v>
      </c>
      <c r="Y483" s="165">
        <v>2015</v>
      </c>
      <c r="Z483" s="176"/>
    </row>
    <row r="484" spans="1:26" s="122" customFormat="1" ht="18" customHeight="1">
      <c r="A484" s="165">
        <f t="shared" si="57"/>
        <v>405</v>
      </c>
      <c r="B484" s="79" t="s">
        <v>287</v>
      </c>
      <c r="C484" s="149" t="s">
        <v>228</v>
      </c>
      <c r="D484" s="80"/>
      <c r="E484" s="49">
        <v>645.1</v>
      </c>
      <c r="F484" s="49">
        <v>546.4</v>
      </c>
      <c r="G484" s="46">
        <f>SUM(H484:S484)</f>
        <v>1512691</v>
      </c>
      <c r="H484" s="35">
        <v>0</v>
      </c>
      <c r="I484" s="35"/>
      <c r="J484" s="35">
        <v>0</v>
      </c>
      <c r="K484" s="35">
        <v>1512691</v>
      </c>
      <c r="L484" s="35"/>
      <c r="M484" s="35">
        <v>0</v>
      </c>
      <c r="N484" s="35"/>
      <c r="O484" s="35">
        <v>0</v>
      </c>
      <c r="P484" s="35"/>
      <c r="Q484" s="35">
        <v>0</v>
      </c>
      <c r="R484" s="35"/>
      <c r="S484" s="35">
        <v>0</v>
      </c>
      <c r="T484" s="35">
        <v>0</v>
      </c>
      <c r="U484" s="35">
        <v>0</v>
      </c>
      <c r="V484" s="35">
        <v>0</v>
      </c>
      <c r="W484" s="46">
        <f>G484</f>
        <v>1512691</v>
      </c>
      <c r="X484" s="165">
        <v>2015</v>
      </c>
      <c r="Y484" s="165">
        <v>2015</v>
      </c>
      <c r="Z484" s="176"/>
    </row>
    <row r="485" spans="1:26" s="122" customFormat="1" ht="18" customHeight="1">
      <c r="A485" s="165">
        <f t="shared" si="57"/>
        <v>406</v>
      </c>
      <c r="B485" s="79" t="s">
        <v>467</v>
      </c>
      <c r="C485" s="149" t="s">
        <v>289</v>
      </c>
      <c r="D485" s="80"/>
      <c r="E485" s="49">
        <v>272.5</v>
      </c>
      <c r="F485" s="49">
        <v>272.5</v>
      </c>
      <c r="G485" s="46">
        <f>SUM(H485:S485)</f>
        <v>635582.85</v>
      </c>
      <c r="H485" s="35">
        <v>0</v>
      </c>
      <c r="I485" s="35"/>
      <c r="J485" s="35">
        <v>0</v>
      </c>
      <c r="K485" s="35">
        <v>635582.85</v>
      </c>
      <c r="L485" s="35"/>
      <c r="M485" s="35">
        <v>0</v>
      </c>
      <c r="N485" s="35"/>
      <c r="O485" s="35">
        <v>0</v>
      </c>
      <c r="P485" s="35"/>
      <c r="Q485" s="35">
        <v>0</v>
      </c>
      <c r="R485" s="35"/>
      <c r="S485" s="35">
        <v>0</v>
      </c>
      <c r="T485" s="35">
        <v>0</v>
      </c>
      <c r="U485" s="35">
        <v>0</v>
      </c>
      <c r="V485" s="35">
        <v>0</v>
      </c>
      <c r="W485" s="46">
        <f>G485</f>
        <v>635582.85</v>
      </c>
      <c r="X485" s="165">
        <v>2015</v>
      </c>
      <c r="Y485" s="165">
        <v>2015</v>
      </c>
      <c r="Z485" s="176"/>
    </row>
    <row r="486" spans="1:26" s="122" customFormat="1" ht="18" customHeight="1">
      <c r="A486" s="165">
        <f t="shared" si="57"/>
        <v>407</v>
      </c>
      <c r="B486" s="79" t="s">
        <v>469</v>
      </c>
      <c r="C486" s="149" t="s">
        <v>277</v>
      </c>
      <c r="D486" s="80"/>
      <c r="E486" s="49">
        <v>330.2</v>
      </c>
      <c r="F486" s="49">
        <v>330.2</v>
      </c>
      <c r="G486" s="46">
        <f>SUM(H486:S486)</f>
        <v>770161.7</v>
      </c>
      <c r="H486" s="35">
        <v>0</v>
      </c>
      <c r="I486" s="35"/>
      <c r="J486" s="35">
        <v>0</v>
      </c>
      <c r="K486" s="35">
        <v>770161.7</v>
      </c>
      <c r="L486" s="35"/>
      <c r="M486" s="35">
        <v>0</v>
      </c>
      <c r="N486" s="35"/>
      <c r="O486" s="35">
        <v>0</v>
      </c>
      <c r="P486" s="35"/>
      <c r="Q486" s="35">
        <v>0</v>
      </c>
      <c r="R486" s="35"/>
      <c r="S486" s="35">
        <v>0</v>
      </c>
      <c r="T486" s="35">
        <v>0</v>
      </c>
      <c r="U486" s="35">
        <v>0</v>
      </c>
      <c r="V486" s="35">
        <v>0</v>
      </c>
      <c r="W486" s="46">
        <f>G486</f>
        <v>770161.7</v>
      </c>
      <c r="X486" s="165">
        <v>2015</v>
      </c>
      <c r="Y486" s="165">
        <v>2015</v>
      </c>
      <c r="Z486" s="176"/>
    </row>
    <row r="487" spans="1:26" s="122" customFormat="1" ht="18" customHeight="1">
      <c r="A487" s="165">
        <f t="shared" si="57"/>
        <v>408</v>
      </c>
      <c r="B487" s="79" t="s">
        <v>416</v>
      </c>
      <c r="C487" s="149">
        <v>1970</v>
      </c>
      <c r="D487" s="25"/>
      <c r="E487" s="49">
        <v>3752.9</v>
      </c>
      <c r="F487" s="49">
        <v>3202.1</v>
      </c>
      <c r="G487" s="46">
        <f>H487+J487+K487+M487+O487+Q487+S487</f>
        <v>1658815.88</v>
      </c>
      <c r="H487" s="58">
        <f>ROUND(518.04*F487,2)</f>
        <v>1658815.88</v>
      </c>
      <c r="I487" s="35">
        <f>H487/F487</f>
        <v>518.03999875081979</v>
      </c>
      <c r="J487" s="35">
        <v>0</v>
      </c>
      <c r="K487" s="35">
        <v>0</v>
      </c>
      <c r="L487" s="35">
        <f>K487/F487</f>
        <v>0</v>
      </c>
      <c r="M487" s="35">
        <v>0</v>
      </c>
      <c r="N487" s="35"/>
      <c r="O487" s="35">
        <v>0</v>
      </c>
      <c r="P487" s="35">
        <f>O487/F487</f>
        <v>0</v>
      </c>
      <c r="Q487" s="35">
        <v>0</v>
      </c>
      <c r="R487" s="35"/>
      <c r="S487" s="35">
        <v>0</v>
      </c>
      <c r="T487" s="35">
        <v>0</v>
      </c>
      <c r="U487" s="35">
        <v>0</v>
      </c>
      <c r="V487" s="35">
        <v>0</v>
      </c>
      <c r="W487" s="46">
        <f>G487</f>
        <v>1658815.88</v>
      </c>
      <c r="X487" s="165">
        <v>2016</v>
      </c>
      <c r="Y487" s="165">
        <v>2016</v>
      </c>
      <c r="Z487" s="176">
        <f>Z472+1</f>
        <v>249</v>
      </c>
    </row>
    <row r="488" spans="1:26" s="122" customFormat="1" ht="18" customHeight="1">
      <c r="A488" s="165">
        <f t="shared" si="57"/>
        <v>409</v>
      </c>
      <c r="B488" s="79" t="s">
        <v>274</v>
      </c>
      <c r="C488" s="149" t="s">
        <v>234</v>
      </c>
      <c r="D488" s="80"/>
      <c r="E488" s="49">
        <v>507.9</v>
      </c>
      <c r="F488" s="49">
        <v>438.5</v>
      </c>
      <c r="G488" s="46">
        <f>H488+J488+K488+M488+O488+Q488+S488</f>
        <v>1562055.4</v>
      </c>
      <c r="H488" s="35">
        <v>0</v>
      </c>
      <c r="I488" s="35">
        <f>H488/F488</f>
        <v>0</v>
      </c>
      <c r="J488" s="35">
        <v>0</v>
      </c>
      <c r="K488" s="35">
        <f>ROUND(3562.27*F488,2)</f>
        <v>1562055.4</v>
      </c>
      <c r="L488" s="35">
        <f>K488/F488</f>
        <v>3562.2700114025083</v>
      </c>
      <c r="M488" s="35">
        <v>0</v>
      </c>
      <c r="N488" s="35"/>
      <c r="O488" s="35">
        <v>0</v>
      </c>
      <c r="P488" s="35"/>
      <c r="Q488" s="35">
        <v>0</v>
      </c>
      <c r="R488" s="35"/>
      <c r="S488" s="35">
        <v>0</v>
      </c>
      <c r="T488" s="35">
        <v>0</v>
      </c>
      <c r="U488" s="35">
        <v>0</v>
      </c>
      <c r="V488" s="35">
        <v>0</v>
      </c>
      <c r="W488" s="46">
        <f>G488</f>
        <v>1562055.4</v>
      </c>
      <c r="X488" s="165">
        <v>2015</v>
      </c>
      <c r="Y488" s="165">
        <v>2016</v>
      </c>
      <c r="Z488" s="176">
        <f>Z487+1</f>
        <v>250</v>
      </c>
    </row>
    <row r="489" spans="1:26" s="122" customFormat="1" ht="18" customHeight="1">
      <c r="A489" s="165">
        <f t="shared" si="57"/>
        <v>410</v>
      </c>
      <c r="B489" s="79" t="s">
        <v>425</v>
      </c>
      <c r="C489" s="149">
        <v>1954</v>
      </c>
      <c r="D489" s="25"/>
      <c r="E489" s="49">
        <v>1233</v>
      </c>
      <c r="F489" s="49">
        <v>1143.4000000000001</v>
      </c>
      <c r="G489" s="46">
        <f>H489+J489+K489+M489+O489+Q489+S489</f>
        <v>1823963.11</v>
      </c>
      <c r="H489" s="35">
        <v>0</v>
      </c>
      <c r="I489" s="35">
        <f>H489/F489</f>
        <v>0</v>
      </c>
      <c r="J489" s="35">
        <v>0</v>
      </c>
      <c r="K489" s="35">
        <f>ROUND(1595.21*F489,2)</f>
        <v>1823963.11</v>
      </c>
      <c r="L489" s="35">
        <f>K489/F489</f>
        <v>1595.2099965016616</v>
      </c>
      <c r="M489" s="35">
        <v>0</v>
      </c>
      <c r="N489" s="35"/>
      <c r="O489" s="35">
        <v>0</v>
      </c>
      <c r="P489" s="35">
        <f>O489/F489</f>
        <v>0</v>
      </c>
      <c r="Q489" s="35">
        <v>0</v>
      </c>
      <c r="R489" s="35"/>
      <c r="S489" s="35">
        <v>0</v>
      </c>
      <c r="T489" s="35">
        <v>0</v>
      </c>
      <c r="U489" s="35">
        <v>0</v>
      </c>
      <c r="V489" s="35">
        <v>0</v>
      </c>
      <c r="W489" s="46">
        <f>G489</f>
        <v>1823963.11</v>
      </c>
      <c r="X489" s="165">
        <v>2016</v>
      </c>
      <c r="Y489" s="165">
        <v>2016</v>
      </c>
      <c r="Z489" s="176">
        <f t="shared" ref="Z489:Z509" si="58">Z488+1</f>
        <v>251</v>
      </c>
    </row>
    <row r="490" spans="1:26" s="122" customFormat="1" ht="18" customHeight="1">
      <c r="A490" s="165">
        <f>A489+1</f>
        <v>411</v>
      </c>
      <c r="B490" s="79" t="s">
        <v>268</v>
      </c>
      <c r="C490" s="149" t="s">
        <v>269</v>
      </c>
      <c r="D490" s="80"/>
      <c r="E490" s="49">
        <v>1002.9</v>
      </c>
      <c r="F490" s="49">
        <v>910.3</v>
      </c>
      <c r="G490" s="46">
        <f>H490+J490+K490+M490+O490+Q490+S490</f>
        <v>625558.16</v>
      </c>
      <c r="H490" s="35">
        <f>ROUND(687.2*F490,2)</f>
        <v>625558.16</v>
      </c>
      <c r="I490" s="35">
        <f>H490/F490</f>
        <v>687.2</v>
      </c>
      <c r="J490" s="35">
        <v>0</v>
      </c>
      <c r="K490" s="35">
        <v>0</v>
      </c>
      <c r="L490" s="35"/>
      <c r="M490" s="35">
        <v>0</v>
      </c>
      <c r="N490" s="35"/>
      <c r="O490" s="35">
        <v>0</v>
      </c>
      <c r="P490" s="35"/>
      <c r="Q490" s="35">
        <v>0</v>
      </c>
      <c r="R490" s="35"/>
      <c r="S490" s="35">
        <v>0</v>
      </c>
      <c r="T490" s="35">
        <v>0</v>
      </c>
      <c r="U490" s="35">
        <v>0</v>
      </c>
      <c r="V490" s="35">
        <v>0</v>
      </c>
      <c r="W490" s="46">
        <f>G490</f>
        <v>625558.16</v>
      </c>
      <c r="X490" s="165">
        <v>2015</v>
      </c>
      <c r="Y490" s="165">
        <v>2016</v>
      </c>
      <c r="Z490" s="176">
        <f t="shared" si="58"/>
        <v>252</v>
      </c>
    </row>
    <row r="491" spans="1:26" s="122" customFormat="1" ht="18" customHeight="1">
      <c r="A491" s="165">
        <f t="shared" si="57"/>
        <v>412</v>
      </c>
      <c r="B491" s="79" t="s">
        <v>276</v>
      </c>
      <c r="C491" s="149" t="s">
        <v>277</v>
      </c>
      <c r="D491" s="80"/>
      <c r="E491" s="49">
        <v>1298.0999999999999</v>
      </c>
      <c r="F491" s="49">
        <f>1054.5+92.1-36.4</f>
        <v>1110.1999999999998</v>
      </c>
      <c r="G491" s="46">
        <f>H491+J491+K491+M491+O491+Q491+S491</f>
        <v>660591.19999999995</v>
      </c>
      <c r="H491" s="35">
        <f>ROUND(595.02*F491,2)</f>
        <v>660591.19999999995</v>
      </c>
      <c r="I491" s="35">
        <f>H491/F491</f>
        <v>595.01999639704559</v>
      </c>
      <c r="J491" s="35">
        <v>0</v>
      </c>
      <c r="K491" s="35">
        <v>0</v>
      </c>
      <c r="L491" s="35">
        <f>K491/F491</f>
        <v>0</v>
      </c>
      <c r="M491" s="35">
        <v>0</v>
      </c>
      <c r="N491" s="35"/>
      <c r="O491" s="35">
        <v>0</v>
      </c>
      <c r="P491" s="35"/>
      <c r="Q491" s="35">
        <v>0</v>
      </c>
      <c r="R491" s="35"/>
      <c r="S491" s="35">
        <v>0</v>
      </c>
      <c r="T491" s="35">
        <v>0</v>
      </c>
      <c r="U491" s="35">
        <v>0</v>
      </c>
      <c r="V491" s="35">
        <v>0</v>
      </c>
      <c r="W491" s="46">
        <f>G491</f>
        <v>660591.19999999995</v>
      </c>
      <c r="X491" s="165">
        <v>2015</v>
      </c>
      <c r="Y491" s="165">
        <v>2016</v>
      </c>
      <c r="Z491" s="176">
        <f t="shared" si="58"/>
        <v>253</v>
      </c>
    </row>
    <row r="492" spans="1:26" s="122" customFormat="1" ht="18" customHeight="1">
      <c r="A492" s="165">
        <f t="shared" si="57"/>
        <v>413</v>
      </c>
      <c r="B492" s="79" t="s">
        <v>426</v>
      </c>
      <c r="C492" s="149">
        <v>1969</v>
      </c>
      <c r="D492" s="25"/>
      <c r="E492" s="49">
        <v>2178.5</v>
      </c>
      <c r="F492" s="49">
        <v>1290.9000000000001</v>
      </c>
      <c r="G492" s="46">
        <f>H492+J492+K492+M492+O492+Q492+S492</f>
        <v>668737.84</v>
      </c>
      <c r="H492" s="58">
        <f>ROUND(518.04*F492,2)</f>
        <v>668737.84</v>
      </c>
      <c r="I492" s="35">
        <f>H492/F492</f>
        <v>518.04000309861328</v>
      </c>
      <c r="J492" s="35">
        <v>0</v>
      </c>
      <c r="K492" s="35">
        <v>0</v>
      </c>
      <c r="L492" s="35">
        <f>K492/F492</f>
        <v>0</v>
      </c>
      <c r="M492" s="35">
        <v>0</v>
      </c>
      <c r="N492" s="35"/>
      <c r="O492" s="35">
        <v>0</v>
      </c>
      <c r="P492" s="35">
        <f>O492/F492</f>
        <v>0</v>
      </c>
      <c r="Q492" s="35">
        <v>0</v>
      </c>
      <c r="R492" s="35"/>
      <c r="S492" s="35">
        <v>0</v>
      </c>
      <c r="T492" s="35">
        <v>0</v>
      </c>
      <c r="U492" s="35">
        <v>0</v>
      </c>
      <c r="V492" s="35">
        <v>0</v>
      </c>
      <c r="W492" s="46">
        <f>G492</f>
        <v>668737.84</v>
      </c>
      <c r="X492" s="165">
        <v>2016</v>
      </c>
      <c r="Y492" s="165">
        <v>2016</v>
      </c>
      <c r="Z492" s="176">
        <f t="shared" si="58"/>
        <v>254</v>
      </c>
    </row>
    <row r="493" spans="1:26" s="122" customFormat="1" ht="18" customHeight="1">
      <c r="A493" s="165">
        <f t="shared" si="57"/>
        <v>414</v>
      </c>
      <c r="B493" s="79" t="s">
        <v>415</v>
      </c>
      <c r="C493" s="149">
        <v>1959</v>
      </c>
      <c r="D493" s="25"/>
      <c r="E493" s="49">
        <v>1475.4</v>
      </c>
      <c r="F493" s="49">
        <v>1316.9</v>
      </c>
      <c r="G493" s="46">
        <f>H493+J493+K493+M493+O493+Q493+S493</f>
        <v>1161637.49</v>
      </c>
      <c r="H493" s="35">
        <v>0</v>
      </c>
      <c r="I493" s="35">
        <f>H493/F493</f>
        <v>0</v>
      </c>
      <c r="J493" s="35">
        <v>0</v>
      </c>
      <c r="K493" s="35">
        <v>0</v>
      </c>
      <c r="L493" s="35">
        <f>K493/F493</f>
        <v>0</v>
      </c>
      <c r="M493" s="35">
        <v>0</v>
      </c>
      <c r="N493" s="35"/>
      <c r="O493" s="35">
        <f>ROUND(882.1*F493,2)</f>
        <v>1161637.49</v>
      </c>
      <c r="P493" s="35">
        <f>O493/F493</f>
        <v>882.09999999999991</v>
      </c>
      <c r="Q493" s="35">
        <v>0</v>
      </c>
      <c r="R493" s="35"/>
      <c r="S493" s="35">
        <v>0</v>
      </c>
      <c r="T493" s="35">
        <v>0</v>
      </c>
      <c r="U493" s="35">
        <v>0</v>
      </c>
      <c r="V493" s="35">
        <v>0</v>
      </c>
      <c r="W493" s="46">
        <f>G493</f>
        <v>1161637.49</v>
      </c>
      <c r="X493" s="165">
        <v>2016</v>
      </c>
      <c r="Y493" s="165">
        <v>2016</v>
      </c>
      <c r="Z493" s="176">
        <f t="shared" si="58"/>
        <v>255</v>
      </c>
    </row>
    <row r="494" spans="1:26" s="122" customFormat="1" ht="18" customHeight="1">
      <c r="A494" s="165">
        <f t="shared" si="57"/>
        <v>415</v>
      </c>
      <c r="B494" s="79" t="s">
        <v>278</v>
      </c>
      <c r="C494" s="149" t="s">
        <v>271</v>
      </c>
      <c r="D494" s="80"/>
      <c r="E494" s="49">
        <v>1216.0999999999999</v>
      </c>
      <c r="F494" s="49">
        <v>1097.7</v>
      </c>
      <c r="G494" s="46">
        <f>H494+J494+K494+M494+O494+Q494+S494</f>
        <v>968281.17</v>
      </c>
      <c r="H494" s="35">
        <v>0</v>
      </c>
      <c r="I494" s="35">
        <f>H494/F494</f>
        <v>0</v>
      </c>
      <c r="J494" s="35">
        <v>0</v>
      </c>
      <c r="K494" s="35">
        <v>0</v>
      </c>
      <c r="L494" s="35">
        <f>K494/F494</f>
        <v>0</v>
      </c>
      <c r="M494" s="35">
        <v>0</v>
      </c>
      <c r="N494" s="35"/>
      <c r="O494" s="35">
        <f>ROUND(882.1*F494,2)</f>
        <v>968281.17</v>
      </c>
      <c r="P494" s="35">
        <f>O494/F494</f>
        <v>882.1</v>
      </c>
      <c r="Q494" s="35">
        <v>0</v>
      </c>
      <c r="R494" s="35"/>
      <c r="S494" s="35">
        <v>0</v>
      </c>
      <c r="T494" s="35">
        <v>0</v>
      </c>
      <c r="U494" s="35">
        <v>0</v>
      </c>
      <c r="V494" s="35">
        <v>0</v>
      </c>
      <c r="W494" s="46">
        <f>G494</f>
        <v>968281.17</v>
      </c>
      <c r="X494" s="165">
        <v>2015</v>
      </c>
      <c r="Y494" s="165">
        <v>2016</v>
      </c>
      <c r="Z494" s="176">
        <f t="shared" si="58"/>
        <v>256</v>
      </c>
    </row>
    <row r="495" spans="1:26" s="122" customFormat="1" ht="18" customHeight="1">
      <c r="A495" s="165">
        <f t="shared" si="57"/>
        <v>416</v>
      </c>
      <c r="B495" s="79" t="s">
        <v>417</v>
      </c>
      <c r="C495" s="149">
        <v>1963</v>
      </c>
      <c r="D495" s="25"/>
      <c r="E495" s="49">
        <v>1389.3</v>
      </c>
      <c r="F495" s="49">
        <v>1290.9000000000001</v>
      </c>
      <c r="G495" s="46">
        <f>H495+J495+K495+M495+O495+Q495+S495</f>
        <v>2059256.59</v>
      </c>
      <c r="H495" s="35">
        <v>0</v>
      </c>
      <c r="I495" s="35">
        <f>H495/F495</f>
        <v>0</v>
      </c>
      <c r="J495" s="35">
        <v>0</v>
      </c>
      <c r="K495" s="35">
        <f>ROUND(1595.21*F495,2)</f>
        <v>2059256.59</v>
      </c>
      <c r="L495" s="35">
        <f>K495/F495</f>
        <v>1595.2100007746533</v>
      </c>
      <c r="M495" s="35">
        <v>0</v>
      </c>
      <c r="N495" s="35"/>
      <c r="O495" s="35">
        <v>0</v>
      </c>
      <c r="P495" s="35">
        <f>O495/F495</f>
        <v>0</v>
      </c>
      <c r="Q495" s="35">
        <v>0</v>
      </c>
      <c r="R495" s="35"/>
      <c r="S495" s="35">
        <v>0</v>
      </c>
      <c r="T495" s="35">
        <v>0</v>
      </c>
      <c r="U495" s="35">
        <v>0</v>
      </c>
      <c r="V495" s="35">
        <v>0</v>
      </c>
      <c r="W495" s="46">
        <f>G495</f>
        <v>2059256.59</v>
      </c>
      <c r="X495" s="165">
        <v>2016</v>
      </c>
      <c r="Y495" s="165">
        <v>2016</v>
      </c>
      <c r="Z495" s="176">
        <f t="shared" si="58"/>
        <v>257</v>
      </c>
    </row>
    <row r="496" spans="1:26" s="122" customFormat="1" ht="18" customHeight="1">
      <c r="A496" s="165">
        <f t="shared" si="57"/>
        <v>417</v>
      </c>
      <c r="B496" s="79" t="s">
        <v>279</v>
      </c>
      <c r="C496" s="149" t="s">
        <v>226</v>
      </c>
      <c r="D496" s="80"/>
      <c r="E496" s="49">
        <v>603.1</v>
      </c>
      <c r="F496" s="49">
        <v>541</v>
      </c>
      <c r="G496" s="46">
        <f>H496+J496+K496+M496+O496+Q496+S496</f>
        <v>354327.95</v>
      </c>
      <c r="H496" s="35">
        <f>ROUND(654.95*F496,2)</f>
        <v>354327.95</v>
      </c>
      <c r="I496" s="35">
        <f>H496/F496</f>
        <v>654.95000000000005</v>
      </c>
      <c r="J496" s="35">
        <v>0</v>
      </c>
      <c r="K496" s="35">
        <v>0</v>
      </c>
      <c r="L496" s="35">
        <f>K496/F496</f>
        <v>0</v>
      </c>
      <c r="M496" s="35">
        <v>0</v>
      </c>
      <c r="N496" s="35"/>
      <c r="O496" s="35">
        <v>0</v>
      </c>
      <c r="P496" s="35">
        <f>O496/F496</f>
        <v>0</v>
      </c>
      <c r="Q496" s="35">
        <v>0</v>
      </c>
      <c r="R496" s="35"/>
      <c r="S496" s="35">
        <v>0</v>
      </c>
      <c r="T496" s="35">
        <v>0</v>
      </c>
      <c r="U496" s="35">
        <v>0</v>
      </c>
      <c r="V496" s="35">
        <v>0</v>
      </c>
      <c r="W496" s="46">
        <f>G496</f>
        <v>354327.95</v>
      </c>
      <c r="X496" s="165">
        <v>2015</v>
      </c>
      <c r="Y496" s="165">
        <v>2016</v>
      </c>
      <c r="Z496" s="176">
        <f t="shared" si="58"/>
        <v>258</v>
      </c>
    </row>
    <row r="497" spans="1:26" s="122" customFormat="1" ht="18" customHeight="1">
      <c r="A497" s="165">
        <f t="shared" si="57"/>
        <v>418</v>
      </c>
      <c r="B497" s="79" t="s">
        <v>280</v>
      </c>
      <c r="C497" s="149" t="s">
        <v>271</v>
      </c>
      <c r="D497" s="80"/>
      <c r="E497" s="49">
        <v>465.8</v>
      </c>
      <c r="F497" s="49">
        <v>421.8</v>
      </c>
      <c r="G497" s="46">
        <f>H497+J497+K497+M497+O497+Q497+S497</f>
        <v>276257.90999999997</v>
      </c>
      <c r="H497" s="35">
        <f>ROUND(654.95*F497,2)</f>
        <v>276257.90999999997</v>
      </c>
      <c r="I497" s="35">
        <f>H497/F497</f>
        <v>654.94999999999993</v>
      </c>
      <c r="J497" s="35">
        <v>0</v>
      </c>
      <c r="K497" s="35">
        <v>0</v>
      </c>
      <c r="L497" s="35">
        <f>K497/F497</f>
        <v>0</v>
      </c>
      <c r="M497" s="35">
        <v>0</v>
      </c>
      <c r="N497" s="35"/>
      <c r="O497" s="35">
        <v>0</v>
      </c>
      <c r="P497" s="35">
        <f>O497/F497</f>
        <v>0</v>
      </c>
      <c r="Q497" s="35">
        <v>0</v>
      </c>
      <c r="R497" s="35"/>
      <c r="S497" s="35">
        <v>0</v>
      </c>
      <c r="T497" s="35">
        <v>0</v>
      </c>
      <c r="U497" s="35">
        <v>0</v>
      </c>
      <c r="V497" s="35">
        <v>0</v>
      </c>
      <c r="W497" s="46">
        <f>G497</f>
        <v>276257.90999999997</v>
      </c>
      <c r="X497" s="165">
        <v>2015</v>
      </c>
      <c r="Y497" s="165">
        <v>2016</v>
      </c>
      <c r="Z497" s="176">
        <f t="shared" si="58"/>
        <v>259</v>
      </c>
    </row>
    <row r="498" spans="1:26" s="122" customFormat="1" ht="18" customHeight="1">
      <c r="A498" s="165">
        <f t="shared" si="57"/>
        <v>419</v>
      </c>
      <c r="B498" s="79" t="s">
        <v>281</v>
      </c>
      <c r="C498" s="149" t="s">
        <v>282</v>
      </c>
      <c r="D498" s="80"/>
      <c r="E498" s="49">
        <v>479.4</v>
      </c>
      <c r="F498" s="49">
        <v>377.2</v>
      </c>
      <c r="G498" s="46">
        <f>H498+J498+K498+M498+O498+Q498+S498</f>
        <v>308572.23</v>
      </c>
      <c r="H498" s="35">
        <f>ROUND(818.06*F498,2)</f>
        <v>308572.23</v>
      </c>
      <c r="I498" s="35">
        <f>H498/F498</f>
        <v>818.05999469777305</v>
      </c>
      <c r="J498" s="35">
        <v>0</v>
      </c>
      <c r="K498" s="35">
        <v>0</v>
      </c>
      <c r="L498" s="35">
        <f>K498/F498</f>
        <v>0</v>
      </c>
      <c r="M498" s="35">
        <v>0</v>
      </c>
      <c r="N498" s="35"/>
      <c r="O498" s="35">
        <v>0</v>
      </c>
      <c r="P498" s="35">
        <f>O498/F498</f>
        <v>0</v>
      </c>
      <c r="Q498" s="35">
        <v>0</v>
      </c>
      <c r="R498" s="35"/>
      <c r="S498" s="35">
        <v>0</v>
      </c>
      <c r="T498" s="35">
        <v>0</v>
      </c>
      <c r="U498" s="35">
        <v>0</v>
      </c>
      <c r="V498" s="35">
        <v>0</v>
      </c>
      <c r="W498" s="46">
        <f>G498</f>
        <v>308572.23</v>
      </c>
      <c r="X498" s="165">
        <v>2015</v>
      </c>
      <c r="Y498" s="165">
        <v>2016</v>
      </c>
      <c r="Z498" s="176">
        <f t="shared" si="58"/>
        <v>260</v>
      </c>
    </row>
    <row r="499" spans="1:26" s="122" customFormat="1" ht="18" customHeight="1">
      <c r="A499" s="165">
        <f t="shared" si="57"/>
        <v>420</v>
      </c>
      <c r="B499" s="79" t="s">
        <v>420</v>
      </c>
      <c r="C499" s="149">
        <v>1960</v>
      </c>
      <c r="D499" s="25"/>
      <c r="E499" s="49">
        <v>1695</v>
      </c>
      <c r="F499" s="49">
        <v>1621.4</v>
      </c>
      <c r="G499" s="46">
        <f>H499+J499+K499+M499+O499+Q499+S499</f>
        <v>1430236.94</v>
      </c>
      <c r="H499" s="35">
        <v>0</v>
      </c>
      <c r="I499" s="35"/>
      <c r="J499" s="35">
        <v>0</v>
      </c>
      <c r="K499" s="35">
        <v>0</v>
      </c>
      <c r="L499" s="35">
        <f>K499/F499</f>
        <v>0</v>
      </c>
      <c r="M499" s="35">
        <v>0</v>
      </c>
      <c r="N499" s="35"/>
      <c r="O499" s="81">
        <f>ROUND(882.1*F499,2)</f>
        <v>1430236.94</v>
      </c>
      <c r="P499" s="35">
        <f>O499/F499</f>
        <v>882.09999999999991</v>
      </c>
      <c r="Q499" s="35">
        <v>0</v>
      </c>
      <c r="R499" s="35"/>
      <c r="S499" s="35">
        <v>0</v>
      </c>
      <c r="T499" s="35">
        <v>0</v>
      </c>
      <c r="U499" s="35">
        <v>0</v>
      </c>
      <c r="V499" s="35">
        <v>0</v>
      </c>
      <c r="W499" s="46">
        <f>G499</f>
        <v>1430236.94</v>
      </c>
      <c r="X499" s="165">
        <v>2016</v>
      </c>
      <c r="Y499" s="165">
        <v>2016</v>
      </c>
      <c r="Z499" s="176">
        <f t="shared" si="58"/>
        <v>261</v>
      </c>
    </row>
    <row r="500" spans="1:26" s="122" customFormat="1" ht="18" customHeight="1">
      <c r="A500" s="165">
        <f t="shared" si="57"/>
        <v>421</v>
      </c>
      <c r="B500" s="79" t="s">
        <v>422</v>
      </c>
      <c r="C500" s="149">
        <v>1980</v>
      </c>
      <c r="D500" s="25"/>
      <c r="E500" s="49">
        <v>7486.4</v>
      </c>
      <c r="F500" s="49">
        <v>6764.4</v>
      </c>
      <c r="G500" s="46">
        <f>H500+J500+K500+M500+O500+Q500+S500</f>
        <v>6186314.3799999999</v>
      </c>
      <c r="H500" s="35">
        <v>0</v>
      </c>
      <c r="I500" s="35"/>
      <c r="J500" s="35">
        <v>0</v>
      </c>
      <c r="K500" s="81">
        <f>ROUND(914.54*F500,2)</f>
        <v>6186314.3799999999</v>
      </c>
      <c r="L500" s="35">
        <f>K500/F500</f>
        <v>914.54000059133114</v>
      </c>
      <c r="M500" s="35">
        <v>0</v>
      </c>
      <c r="N500" s="35"/>
      <c r="O500" s="35">
        <v>0</v>
      </c>
      <c r="P500" s="35">
        <f>O500/F500</f>
        <v>0</v>
      </c>
      <c r="Q500" s="35">
        <v>0</v>
      </c>
      <c r="R500" s="35"/>
      <c r="S500" s="35">
        <v>0</v>
      </c>
      <c r="T500" s="35">
        <v>0</v>
      </c>
      <c r="U500" s="35">
        <v>0</v>
      </c>
      <c r="V500" s="35">
        <v>0</v>
      </c>
      <c r="W500" s="46">
        <f>G500</f>
        <v>6186314.3799999999</v>
      </c>
      <c r="X500" s="165">
        <v>2016</v>
      </c>
      <c r="Y500" s="165">
        <v>2016</v>
      </c>
      <c r="Z500" s="176">
        <f t="shared" si="58"/>
        <v>262</v>
      </c>
    </row>
    <row r="501" spans="1:26" s="122" customFormat="1" ht="18" customHeight="1">
      <c r="A501" s="165">
        <f t="shared" si="57"/>
        <v>422</v>
      </c>
      <c r="B501" s="79" t="s">
        <v>284</v>
      </c>
      <c r="C501" s="149" t="s">
        <v>285</v>
      </c>
      <c r="D501" s="80"/>
      <c r="E501" s="49">
        <v>645.5</v>
      </c>
      <c r="F501" s="49">
        <v>574.6</v>
      </c>
      <c r="G501" s="46">
        <f>H501+J501+K501+M501+O501+Q501+S501</f>
        <v>2046880.34</v>
      </c>
      <c r="H501" s="35">
        <v>0</v>
      </c>
      <c r="I501" s="35">
        <f>H501/F501</f>
        <v>0</v>
      </c>
      <c r="J501" s="35">
        <v>0</v>
      </c>
      <c r="K501" s="35">
        <f>ROUND(3562.27*F501,2)</f>
        <v>2046880.34</v>
      </c>
      <c r="L501" s="35">
        <f>K501/F501</f>
        <v>3562.2699965193178</v>
      </c>
      <c r="M501" s="35">
        <v>0</v>
      </c>
      <c r="N501" s="35"/>
      <c r="O501" s="35">
        <v>0</v>
      </c>
      <c r="P501" s="35">
        <f>O501/F501</f>
        <v>0</v>
      </c>
      <c r="Q501" s="35">
        <v>0</v>
      </c>
      <c r="R501" s="35"/>
      <c r="S501" s="35">
        <v>0</v>
      </c>
      <c r="T501" s="35">
        <v>0</v>
      </c>
      <c r="U501" s="35">
        <v>0</v>
      </c>
      <c r="V501" s="35">
        <v>0</v>
      </c>
      <c r="W501" s="46">
        <f>G501</f>
        <v>2046880.34</v>
      </c>
      <c r="X501" s="165">
        <v>2015</v>
      </c>
      <c r="Y501" s="165">
        <v>2016</v>
      </c>
      <c r="Z501" s="176">
        <f t="shared" si="58"/>
        <v>263</v>
      </c>
    </row>
    <row r="502" spans="1:26" s="122" customFormat="1" ht="18" customHeight="1">
      <c r="A502" s="165">
        <f t="shared" si="57"/>
        <v>423</v>
      </c>
      <c r="B502" s="79" t="s">
        <v>421</v>
      </c>
      <c r="C502" s="149">
        <v>1973</v>
      </c>
      <c r="D502" s="25"/>
      <c r="E502" s="49">
        <v>3918.1</v>
      </c>
      <c r="F502" s="49">
        <v>3441.7</v>
      </c>
      <c r="G502" s="46">
        <f>H502+J502+K502+M502+O502+Q502+S502</f>
        <v>3196169.12</v>
      </c>
      <c r="H502" s="35">
        <v>0</v>
      </c>
      <c r="I502" s="35"/>
      <c r="J502" s="35">
        <v>0</v>
      </c>
      <c r="K502" s="81">
        <f>ROUND(928.66*F502,2)</f>
        <v>3196169.12</v>
      </c>
      <c r="L502" s="35">
        <f>K502/F502</f>
        <v>928.65999941889186</v>
      </c>
      <c r="M502" s="35">
        <v>0</v>
      </c>
      <c r="N502" s="35"/>
      <c r="O502" s="35">
        <v>0</v>
      </c>
      <c r="P502" s="35">
        <f>O502/F502</f>
        <v>0</v>
      </c>
      <c r="Q502" s="35">
        <v>0</v>
      </c>
      <c r="R502" s="35"/>
      <c r="S502" s="35">
        <v>0</v>
      </c>
      <c r="T502" s="35">
        <v>0</v>
      </c>
      <c r="U502" s="35">
        <v>0</v>
      </c>
      <c r="V502" s="35">
        <v>0</v>
      </c>
      <c r="W502" s="46">
        <f>G502</f>
        <v>3196169.12</v>
      </c>
      <c r="X502" s="165">
        <v>2016</v>
      </c>
      <c r="Y502" s="165">
        <v>2016</v>
      </c>
      <c r="Z502" s="176">
        <f t="shared" si="58"/>
        <v>264</v>
      </c>
    </row>
    <row r="503" spans="1:26" s="122" customFormat="1" ht="18" customHeight="1">
      <c r="A503" s="165">
        <f t="shared" si="57"/>
        <v>424</v>
      </c>
      <c r="B503" s="79" t="s">
        <v>288</v>
      </c>
      <c r="C503" s="149" t="s">
        <v>277</v>
      </c>
      <c r="D503" s="80"/>
      <c r="E503" s="49">
        <v>2618.1999999999998</v>
      </c>
      <c r="F503" s="49">
        <v>2206.6</v>
      </c>
      <c r="G503" s="46">
        <f>H503+J503+K503+M503+O503+Q503+S503</f>
        <v>3806164.34</v>
      </c>
      <c r="H503" s="35">
        <v>0</v>
      </c>
      <c r="I503" s="35">
        <f>H503/F503</f>
        <v>0</v>
      </c>
      <c r="J503" s="35">
        <v>0</v>
      </c>
      <c r="K503" s="35">
        <f>ROUND(1724.9*F503,2)</f>
        <v>3806164.34</v>
      </c>
      <c r="L503" s="35">
        <f>K503/F503</f>
        <v>1724.9</v>
      </c>
      <c r="M503" s="35">
        <v>0</v>
      </c>
      <c r="N503" s="35"/>
      <c r="O503" s="35">
        <v>0</v>
      </c>
      <c r="P503" s="35">
        <f>O503/F503</f>
        <v>0</v>
      </c>
      <c r="Q503" s="35">
        <v>0</v>
      </c>
      <c r="R503" s="35"/>
      <c r="S503" s="35">
        <v>0</v>
      </c>
      <c r="T503" s="35">
        <v>0</v>
      </c>
      <c r="U503" s="35">
        <v>0</v>
      </c>
      <c r="V503" s="35">
        <v>0</v>
      </c>
      <c r="W503" s="46">
        <f>G503</f>
        <v>3806164.34</v>
      </c>
      <c r="X503" s="165">
        <v>2015</v>
      </c>
      <c r="Y503" s="165">
        <v>2017</v>
      </c>
      <c r="Z503" s="176">
        <f t="shared" si="58"/>
        <v>265</v>
      </c>
    </row>
    <row r="504" spans="1:26" s="122" customFormat="1" ht="18" customHeight="1">
      <c r="A504" s="165">
        <f t="shared" si="57"/>
        <v>425</v>
      </c>
      <c r="B504" s="79" t="s">
        <v>419</v>
      </c>
      <c r="C504" s="149">
        <v>1969</v>
      </c>
      <c r="D504" s="25"/>
      <c r="E504" s="49">
        <v>4379.8</v>
      </c>
      <c r="F504" s="49">
        <v>4106.5</v>
      </c>
      <c r="G504" s="46">
        <f>H504+J504+K504+M504+O504+Q504+S504</f>
        <v>2028446.74</v>
      </c>
      <c r="H504" s="58">
        <f>ROUND(493.96*F504,2)</f>
        <v>2028446.74</v>
      </c>
      <c r="I504" s="35">
        <f>H504/F504</f>
        <v>493.96</v>
      </c>
      <c r="J504" s="35">
        <v>0</v>
      </c>
      <c r="K504" s="35">
        <v>0</v>
      </c>
      <c r="L504" s="35">
        <f>K504/F504</f>
        <v>0</v>
      </c>
      <c r="M504" s="35">
        <v>0</v>
      </c>
      <c r="N504" s="35"/>
      <c r="O504" s="35">
        <v>0</v>
      </c>
      <c r="P504" s="35">
        <f>O504/F504</f>
        <v>0</v>
      </c>
      <c r="Q504" s="35">
        <v>0</v>
      </c>
      <c r="R504" s="35"/>
      <c r="S504" s="35">
        <v>0</v>
      </c>
      <c r="T504" s="35">
        <v>0</v>
      </c>
      <c r="U504" s="35">
        <v>0</v>
      </c>
      <c r="V504" s="35">
        <v>0</v>
      </c>
      <c r="W504" s="46">
        <f>G504</f>
        <v>2028446.74</v>
      </c>
      <c r="X504" s="165">
        <v>2016</v>
      </c>
      <c r="Y504" s="165">
        <v>2016</v>
      </c>
      <c r="Z504" s="176">
        <f t="shared" si="58"/>
        <v>266</v>
      </c>
    </row>
    <row r="505" spans="1:26" s="122" customFormat="1" ht="18" customHeight="1">
      <c r="A505" s="165">
        <f t="shared" si="57"/>
        <v>426</v>
      </c>
      <c r="B505" s="79" t="s">
        <v>418</v>
      </c>
      <c r="C505" s="149">
        <v>1962</v>
      </c>
      <c r="D505" s="25"/>
      <c r="E505" s="49">
        <v>5505.6</v>
      </c>
      <c r="F505" s="49">
        <v>4837.3999999999996</v>
      </c>
      <c r="G505" s="46">
        <f>H505+J505+K505+M505+O505+Q505+S505</f>
        <v>2505966.7000000002</v>
      </c>
      <c r="H505" s="58">
        <f>ROUND(518.04*F505,2)</f>
        <v>2505966.7000000002</v>
      </c>
      <c r="I505" s="35">
        <f>H505/F505</f>
        <v>518.0400008268906</v>
      </c>
      <c r="J505" s="35">
        <v>0</v>
      </c>
      <c r="K505" s="35">
        <v>0</v>
      </c>
      <c r="L505" s="35">
        <f>K505/F505</f>
        <v>0</v>
      </c>
      <c r="M505" s="35">
        <v>0</v>
      </c>
      <c r="N505" s="35"/>
      <c r="O505" s="35">
        <v>0</v>
      </c>
      <c r="P505" s="35">
        <f>O505/F505</f>
        <v>0</v>
      </c>
      <c r="Q505" s="35">
        <v>0</v>
      </c>
      <c r="R505" s="35"/>
      <c r="S505" s="35">
        <v>0</v>
      </c>
      <c r="T505" s="35">
        <v>0</v>
      </c>
      <c r="U505" s="35">
        <v>0</v>
      </c>
      <c r="V505" s="35">
        <v>0</v>
      </c>
      <c r="W505" s="46">
        <f>G505</f>
        <v>2505966.7000000002</v>
      </c>
      <c r="X505" s="165">
        <v>2016</v>
      </c>
      <c r="Y505" s="165">
        <v>2016</v>
      </c>
      <c r="Z505" s="176">
        <f t="shared" si="58"/>
        <v>267</v>
      </c>
    </row>
    <row r="506" spans="1:26" s="122" customFormat="1" ht="18" customHeight="1">
      <c r="A506" s="165">
        <f t="shared" si="57"/>
        <v>427</v>
      </c>
      <c r="B506" s="79" t="s">
        <v>466</v>
      </c>
      <c r="C506" s="149" t="s">
        <v>282</v>
      </c>
      <c r="D506" s="80"/>
      <c r="E506" s="49">
        <v>255.4</v>
      </c>
      <c r="F506" s="49">
        <v>255.4</v>
      </c>
      <c r="G506" s="46">
        <f>H506+J506+K506+M506+O506+Q506+S506</f>
        <v>655499.42000000004</v>
      </c>
      <c r="H506" s="35">
        <v>0</v>
      </c>
      <c r="I506" s="35">
        <f>H506/F506</f>
        <v>0</v>
      </c>
      <c r="J506" s="35">
        <v>0</v>
      </c>
      <c r="K506" s="35">
        <v>0</v>
      </c>
      <c r="L506" s="35">
        <f>K506/F506</f>
        <v>0</v>
      </c>
      <c r="M506" s="35">
        <v>0</v>
      </c>
      <c r="N506" s="35"/>
      <c r="O506" s="35">
        <f>ROUND(2566.56*F506,2)</f>
        <v>655499.42000000004</v>
      </c>
      <c r="P506" s="35">
        <f>O506/F506</f>
        <v>2566.5599843382929</v>
      </c>
      <c r="Q506" s="35">
        <v>0</v>
      </c>
      <c r="R506" s="35"/>
      <c r="S506" s="35">
        <v>0</v>
      </c>
      <c r="T506" s="35">
        <v>0</v>
      </c>
      <c r="U506" s="35">
        <v>0</v>
      </c>
      <c r="V506" s="35">
        <v>0</v>
      </c>
      <c r="W506" s="46">
        <f>G506</f>
        <v>655499.42000000004</v>
      </c>
      <c r="X506" s="165">
        <v>2015</v>
      </c>
      <c r="Y506" s="165">
        <v>2016</v>
      </c>
      <c r="Z506" s="176">
        <f t="shared" si="58"/>
        <v>268</v>
      </c>
    </row>
    <row r="507" spans="1:26" s="122" customFormat="1" ht="18" customHeight="1">
      <c r="A507" s="165">
        <f t="shared" si="57"/>
        <v>428</v>
      </c>
      <c r="B507" s="79" t="s">
        <v>468</v>
      </c>
      <c r="C507" s="149" t="s">
        <v>289</v>
      </c>
      <c r="D507" s="80"/>
      <c r="E507" s="49">
        <v>330.2</v>
      </c>
      <c r="F507" s="49">
        <v>330.2</v>
      </c>
      <c r="G507" s="46">
        <f>H507+J507+K507+M507+O507+Q507+S507</f>
        <v>847478.11</v>
      </c>
      <c r="H507" s="35">
        <v>0</v>
      </c>
      <c r="I507" s="35">
        <f>H507/F507</f>
        <v>0</v>
      </c>
      <c r="J507" s="35">
        <v>0</v>
      </c>
      <c r="K507" s="35">
        <v>0</v>
      </c>
      <c r="L507" s="35">
        <f>K507/F507</f>
        <v>0</v>
      </c>
      <c r="M507" s="35">
        <v>0</v>
      </c>
      <c r="N507" s="35"/>
      <c r="O507" s="35">
        <f>ROUND(2566.56*F507,2)</f>
        <v>847478.11</v>
      </c>
      <c r="P507" s="35">
        <f>O507/F507</f>
        <v>2566.5599939430649</v>
      </c>
      <c r="Q507" s="35">
        <v>0</v>
      </c>
      <c r="R507" s="35"/>
      <c r="S507" s="35">
        <v>0</v>
      </c>
      <c r="T507" s="35">
        <v>0</v>
      </c>
      <c r="U507" s="35">
        <v>0</v>
      </c>
      <c r="V507" s="35">
        <v>0</v>
      </c>
      <c r="W507" s="46">
        <f>G507</f>
        <v>847478.11</v>
      </c>
      <c r="X507" s="165">
        <v>2015</v>
      </c>
      <c r="Y507" s="165">
        <v>2016</v>
      </c>
      <c r="Z507" s="176">
        <f t="shared" si="58"/>
        <v>269</v>
      </c>
    </row>
    <row r="508" spans="1:26" s="122" customFormat="1" ht="18" customHeight="1">
      <c r="A508" s="165">
        <f t="shared" si="57"/>
        <v>429</v>
      </c>
      <c r="B508" s="79" t="s">
        <v>464</v>
      </c>
      <c r="C508" s="149" t="s">
        <v>282</v>
      </c>
      <c r="D508" s="80"/>
      <c r="E508" s="49">
        <v>293.10000000000002</v>
      </c>
      <c r="F508" s="49">
        <v>257.5</v>
      </c>
      <c r="G508" s="46">
        <f>H508+J508+K508+M508+O508+Q508+S508</f>
        <v>660889.19999999995</v>
      </c>
      <c r="H508" s="35">
        <v>0</v>
      </c>
      <c r="I508" s="35">
        <f>H508/F508</f>
        <v>0</v>
      </c>
      <c r="J508" s="35">
        <v>0</v>
      </c>
      <c r="K508" s="35">
        <v>0</v>
      </c>
      <c r="L508" s="35">
        <f>K508/F508</f>
        <v>0</v>
      </c>
      <c r="M508" s="35">
        <v>0</v>
      </c>
      <c r="N508" s="35"/>
      <c r="O508" s="35">
        <f>ROUND(2566.56*F508,2)</f>
        <v>660889.19999999995</v>
      </c>
      <c r="P508" s="35">
        <f>O508/F508</f>
        <v>2566.56</v>
      </c>
      <c r="Q508" s="35">
        <v>0</v>
      </c>
      <c r="R508" s="35"/>
      <c r="S508" s="35">
        <v>0</v>
      </c>
      <c r="T508" s="35">
        <v>0</v>
      </c>
      <c r="U508" s="35">
        <v>0</v>
      </c>
      <c r="V508" s="35">
        <v>0</v>
      </c>
      <c r="W508" s="46">
        <f>G508</f>
        <v>660889.19999999995</v>
      </c>
      <c r="X508" s="165">
        <v>2015</v>
      </c>
      <c r="Y508" s="165">
        <v>2016</v>
      </c>
      <c r="Z508" s="176">
        <f t="shared" si="58"/>
        <v>270</v>
      </c>
    </row>
    <row r="509" spans="1:26" s="122" customFormat="1" ht="18" customHeight="1">
      <c r="A509" s="165">
        <f>A508+1</f>
        <v>430</v>
      </c>
      <c r="B509" s="79" t="s">
        <v>465</v>
      </c>
      <c r="C509" s="149" t="s">
        <v>282</v>
      </c>
      <c r="D509" s="80"/>
      <c r="E509" s="49">
        <v>322.89999999999998</v>
      </c>
      <c r="F509" s="49">
        <v>322.89999999999998</v>
      </c>
      <c r="G509" s="46">
        <f>H509+J509+K509+M509+O509+Q509+S509</f>
        <v>828742.22</v>
      </c>
      <c r="H509" s="35">
        <v>0</v>
      </c>
      <c r="I509" s="35">
        <f>H509/F509</f>
        <v>0</v>
      </c>
      <c r="J509" s="35">
        <v>0</v>
      </c>
      <c r="K509" s="35">
        <v>0</v>
      </c>
      <c r="L509" s="35">
        <f>K509/F509</f>
        <v>0</v>
      </c>
      <c r="M509" s="35">
        <v>0</v>
      </c>
      <c r="N509" s="35"/>
      <c r="O509" s="35">
        <f>ROUND(2566.56*F509,2)</f>
        <v>828742.22</v>
      </c>
      <c r="P509" s="35">
        <f>O509/F509</f>
        <v>2566.5599876122637</v>
      </c>
      <c r="Q509" s="35">
        <v>0</v>
      </c>
      <c r="R509" s="35"/>
      <c r="S509" s="35">
        <v>0</v>
      </c>
      <c r="T509" s="35">
        <v>0</v>
      </c>
      <c r="U509" s="35">
        <v>0</v>
      </c>
      <c r="V509" s="35">
        <v>0</v>
      </c>
      <c r="W509" s="46">
        <f>G509</f>
        <v>828742.22</v>
      </c>
      <c r="X509" s="165">
        <v>2015</v>
      </c>
      <c r="Y509" s="165">
        <v>2016</v>
      </c>
      <c r="Z509" s="176">
        <f t="shared" si="58"/>
        <v>271</v>
      </c>
    </row>
    <row r="510" spans="1:26" s="120" customFormat="1" ht="19.5" customHeight="1">
      <c r="A510" s="185" t="s">
        <v>208</v>
      </c>
      <c r="B510" s="185"/>
      <c r="C510" s="149"/>
      <c r="D510" s="25"/>
      <c r="E510" s="29">
        <v>0</v>
      </c>
      <c r="F510" s="29">
        <v>0</v>
      </c>
      <c r="G510" s="19">
        <v>0</v>
      </c>
      <c r="H510" s="28">
        <v>0</v>
      </c>
      <c r="I510" s="28"/>
      <c r="J510" s="28">
        <v>0</v>
      </c>
      <c r="K510" s="28">
        <v>0</v>
      </c>
      <c r="L510" s="28"/>
      <c r="M510" s="28">
        <v>0</v>
      </c>
      <c r="N510" s="28"/>
      <c r="O510" s="28">
        <v>0</v>
      </c>
      <c r="P510" s="28"/>
      <c r="Q510" s="28">
        <v>0</v>
      </c>
      <c r="R510" s="28"/>
      <c r="S510" s="28">
        <v>0</v>
      </c>
      <c r="T510" s="28">
        <v>0</v>
      </c>
      <c r="U510" s="28">
        <v>0</v>
      </c>
      <c r="V510" s="28">
        <v>0</v>
      </c>
      <c r="W510" s="19">
        <v>0</v>
      </c>
      <c r="X510" s="20" t="s">
        <v>447</v>
      </c>
      <c r="Y510" s="20" t="s">
        <v>447</v>
      </c>
      <c r="Z510" s="178"/>
    </row>
    <row r="511" spans="1:26" s="120" customFormat="1" ht="19.5" customHeight="1">
      <c r="A511" s="185" t="s">
        <v>206</v>
      </c>
      <c r="B511" s="185"/>
      <c r="C511" s="152"/>
      <c r="D511" s="163"/>
      <c r="E511" s="29">
        <f>SUM(E477:E486)</f>
        <v>5706.3</v>
      </c>
      <c r="F511" s="29">
        <f t="shared" ref="E511:W511" si="59">SUM(F477:F486)</f>
        <v>5147.5999999999995</v>
      </c>
      <c r="G511" s="19">
        <f t="shared" si="59"/>
        <v>13302203.060000001</v>
      </c>
      <c r="H511" s="28">
        <f t="shared" si="59"/>
        <v>0</v>
      </c>
      <c r="I511" s="28"/>
      <c r="J511" s="28">
        <f t="shared" si="59"/>
        <v>0</v>
      </c>
      <c r="K511" s="28">
        <f t="shared" si="59"/>
        <v>13302203.060000001</v>
      </c>
      <c r="L511" s="28"/>
      <c r="M511" s="28">
        <f t="shared" si="59"/>
        <v>0</v>
      </c>
      <c r="N511" s="28"/>
      <c r="O511" s="28">
        <f t="shared" si="59"/>
        <v>0</v>
      </c>
      <c r="P511" s="28"/>
      <c r="Q511" s="28">
        <f t="shared" si="59"/>
        <v>0</v>
      </c>
      <c r="R511" s="28"/>
      <c r="S511" s="28">
        <f t="shared" si="59"/>
        <v>0</v>
      </c>
      <c r="T511" s="28">
        <f t="shared" si="59"/>
        <v>0</v>
      </c>
      <c r="U511" s="28">
        <f t="shared" si="59"/>
        <v>0</v>
      </c>
      <c r="V511" s="28">
        <f t="shared" si="59"/>
        <v>0</v>
      </c>
      <c r="W511" s="19">
        <f t="shared" si="59"/>
        <v>13302203.060000001</v>
      </c>
      <c r="X511" s="20" t="s">
        <v>447</v>
      </c>
      <c r="Y511" s="20" t="s">
        <v>447</v>
      </c>
      <c r="Z511" s="178"/>
    </row>
    <row r="512" spans="1:26" s="120" customFormat="1" ht="19.5" customHeight="1">
      <c r="A512" s="185" t="s">
        <v>207</v>
      </c>
      <c r="B512" s="185"/>
      <c r="C512" s="152"/>
      <c r="D512" s="163"/>
      <c r="E512" s="29">
        <f>SUM(E487:E509)</f>
        <v>43052.599999999991</v>
      </c>
      <c r="F512" s="29">
        <f>SUM(F487:F509)</f>
        <v>37859.499999999993</v>
      </c>
      <c r="G512" s="19">
        <f>SUM(G487:G509)</f>
        <v>36320842.439999998</v>
      </c>
      <c r="H512" s="19">
        <f>SUM(H487:H509)</f>
        <v>9087274.6099999994</v>
      </c>
      <c r="I512" s="19"/>
      <c r="J512" s="19">
        <f>SUM(J487:J509)</f>
        <v>0</v>
      </c>
      <c r="K512" s="19">
        <f>SUM(K487:K509)</f>
        <v>20680803.280000001</v>
      </c>
      <c r="L512" s="19"/>
      <c r="M512" s="19">
        <f>SUM(M487:M509)</f>
        <v>0</v>
      </c>
      <c r="N512" s="19"/>
      <c r="O512" s="19">
        <f>SUM(O487:O509)</f>
        <v>6552764.5500000007</v>
      </c>
      <c r="P512" s="19"/>
      <c r="Q512" s="19">
        <f>SUM(Q487:Q509)</f>
        <v>0</v>
      </c>
      <c r="R512" s="19"/>
      <c r="S512" s="19">
        <f>SUM(S487:S509)</f>
        <v>0</v>
      </c>
      <c r="T512" s="19">
        <f>SUM(T487:T509)</f>
        <v>0</v>
      </c>
      <c r="U512" s="19">
        <f>SUM(U487:U509)</f>
        <v>0</v>
      </c>
      <c r="V512" s="19">
        <f>SUM(V487:V509)</f>
        <v>0</v>
      </c>
      <c r="W512" s="19">
        <f>SUM(W487:W509)</f>
        <v>36320842.439999998</v>
      </c>
      <c r="X512" s="20" t="s">
        <v>447</v>
      </c>
      <c r="Y512" s="20" t="s">
        <v>447</v>
      </c>
      <c r="Z512" s="178"/>
    </row>
    <row r="513" spans="1:26" s="120" customFormat="1" ht="19.5" customHeight="1">
      <c r="A513" s="185" t="s">
        <v>448</v>
      </c>
      <c r="B513" s="185"/>
      <c r="C513" s="152"/>
      <c r="D513" s="163"/>
      <c r="E513" s="29">
        <f t="shared" ref="E513:H515" si="60">E510+E473+E464+E459</f>
        <v>0</v>
      </c>
      <c r="F513" s="29">
        <f t="shared" si="60"/>
        <v>0</v>
      </c>
      <c r="G513" s="19">
        <f t="shared" si="60"/>
        <v>0</v>
      </c>
      <c r="H513" s="28">
        <f t="shared" si="60"/>
        <v>0</v>
      </c>
      <c r="I513" s="28"/>
      <c r="J513" s="28">
        <f t="shared" ref="J513:K515" si="61">J510+J473+J464+J459</f>
        <v>0</v>
      </c>
      <c r="K513" s="28">
        <f t="shared" si="61"/>
        <v>0</v>
      </c>
      <c r="L513" s="28"/>
      <c r="M513" s="28">
        <f>M510+M473+M464+M459</f>
        <v>0</v>
      </c>
      <c r="N513" s="28"/>
      <c r="O513" s="28">
        <f>O510+O473+O464+O459</f>
        <v>0</v>
      </c>
      <c r="P513" s="28"/>
      <c r="Q513" s="28">
        <f>Q510+Q473+Q464+Q459</f>
        <v>0</v>
      </c>
      <c r="R513" s="28"/>
      <c r="S513" s="28">
        <f t="shared" ref="S513:W515" si="62">S510+S473+S464+S459</f>
        <v>0</v>
      </c>
      <c r="T513" s="28">
        <f t="shared" si="62"/>
        <v>0</v>
      </c>
      <c r="U513" s="28">
        <f t="shared" si="62"/>
        <v>0</v>
      </c>
      <c r="V513" s="28">
        <f t="shared" si="62"/>
        <v>0</v>
      </c>
      <c r="W513" s="19">
        <f t="shared" si="62"/>
        <v>0</v>
      </c>
      <c r="X513" s="20" t="s">
        <v>447</v>
      </c>
      <c r="Y513" s="20" t="s">
        <v>447</v>
      </c>
      <c r="Z513" s="178"/>
    </row>
    <row r="514" spans="1:26" s="120" customFormat="1" ht="19.5" customHeight="1">
      <c r="A514" s="185" t="s">
        <v>356</v>
      </c>
      <c r="B514" s="185"/>
      <c r="C514" s="152"/>
      <c r="D514" s="163"/>
      <c r="E514" s="29">
        <f t="shared" si="60"/>
        <v>7259.1</v>
      </c>
      <c r="F514" s="29">
        <f t="shared" si="60"/>
        <v>6541.0999999999995</v>
      </c>
      <c r="G514" s="19">
        <f t="shared" si="60"/>
        <v>17015912.5</v>
      </c>
      <c r="H514" s="28">
        <f t="shared" si="60"/>
        <v>0</v>
      </c>
      <c r="I514" s="28"/>
      <c r="J514" s="28">
        <f t="shared" si="61"/>
        <v>0</v>
      </c>
      <c r="K514" s="28">
        <f t="shared" si="61"/>
        <v>17015912.5</v>
      </c>
      <c r="L514" s="28"/>
      <c r="M514" s="28">
        <f>M511+M474+M465+M460</f>
        <v>0</v>
      </c>
      <c r="N514" s="28"/>
      <c r="O514" s="28">
        <f>O511+O474+O465+O460</f>
        <v>0</v>
      </c>
      <c r="P514" s="28"/>
      <c r="Q514" s="28">
        <f>Q511+Q474+Q465+Q460</f>
        <v>0</v>
      </c>
      <c r="R514" s="28"/>
      <c r="S514" s="28">
        <f t="shared" si="62"/>
        <v>0</v>
      </c>
      <c r="T514" s="28">
        <f t="shared" si="62"/>
        <v>0</v>
      </c>
      <c r="U514" s="28">
        <f t="shared" si="62"/>
        <v>0</v>
      </c>
      <c r="V514" s="28">
        <f t="shared" si="62"/>
        <v>0</v>
      </c>
      <c r="W514" s="19">
        <f t="shared" si="62"/>
        <v>17015912.5</v>
      </c>
      <c r="X514" s="20" t="s">
        <v>447</v>
      </c>
      <c r="Y514" s="20" t="s">
        <v>447</v>
      </c>
      <c r="Z514" s="178"/>
    </row>
    <row r="515" spans="1:26" s="120" customFormat="1" ht="19.5" customHeight="1">
      <c r="A515" s="185" t="s">
        <v>427</v>
      </c>
      <c r="B515" s="185"/>
      <c r="C515" s="152"/>
      <c r="D515" s="163"/>
      <c r="E515" s="29">
        <f t="shared" si="60"/>
        <v>52447.399999999994</v>
      </c>
      <c r="F515" s="29">
        <f t="shared" si="60"/>
        <v>45503.999999999985</v>
      </c>
      <c r="G515" s="19">
        <f t="shared" si="60"/>
        <v>42966664.169999994</v>
      </c>
      <c r="H515" s="28">
        <f t="shared" si="60"/>
        <v>9087274.6099999994</v>
      </c>
      <c r="I515" s="28"/>
      <c r="J515" s="28">
        <f t="shared" si="61"/>
        <v>0</v>
      </c>
      <c r="K515" s="28">
        <f t="shared" si="61"/>
        <v>26540540.390000001</v>
      </c>
      <c r="L515" s="28"/>
      <c r="M515" s="28">
        <f>M512+M475+M466+M461</f>
        <v>0</v>
      </c>
      <c r="N515" s="28"/>
      <c r="O515" s="28">
        <f>O512+O475+O466+O461</f>
        <v>7338849.1700000009</v>
      </c>
      <c r="P515" s="28"/>
      <c r="Q515" s="28">
        <f>Q512+Q475+Q466+Q461</f>
        <v>0</v>
      </c>
      <c r="R515" s="28"/>
      <c r="S515" s="28">
        <f t="shared" si="62"/>
        <v>0</v>
      </c>
      <c r="T515" s="28">
        <f t="shared" si="62"/>
        <v>0</v>
      </c>
      <c r="U515" s="28">
        <f t="shared" si="62"/>
        <v>0</v>
      </c>
      <c r="V515" s="28">
        <f t="shared" si="62"/>
        <v>193009.89</v>
      </c>
      <c r="W515" s="19">
        <f t="shared" si="62"/>
        <v>42773654.280000001</v>
      </c>
      <c r="X515" s="20" t="s">
        <v>447</v>
      </c>
      <c r="Y515" s="20" t="s">
        <v>447</v>
      </c>
      <c r="Z515" s="178"/>
    </row>
    <row r="516" spans="1:26" s="120" customFormat="1" ht="17.25" customHeight="1">
      <c r="A516" s="187" t="s">
        <v>290</v>
      </c>
      <c r="B516" s="187"/>
      <c r="C516" s="187"/>
      <c r="D516" s="187"/>
      <c r="E516" s="187"/>
      <c r="F516" s="187"/>
      <c r="G516" s="187"/>
      <c r="H516" s="187"/>
      <c r="I516" s="187"/>
      <c r="J516" s="187"/>
      <c r="K516" s="187"/>
      <c r="L516" s="187"/>
      <c r="M516" s="187"/>
      <c r="N516" s="187"/>
      <c r="O516" s="187"/>
      <c r="P516" s="187"/>
      <c r="Q516" s="187"/>
      <c r="R516" s="187"/>
      <c r="S516" s="187"/>
      <c r="T516" s="187"/>
      <c r="U516" s="187"/>
      <c r="V516" s="187"/>
      <c r="W516" s="187"/>
      <c r="X516" s="165"/>
      <c r="Y516" s="165"/>
      <c r="Z516" s="178"/>
    </row>
    <row r="517" spans="1:26" s="120" customFormat="1" ht="17.25" customHeight="1">
      <c r="A517" s="187" t="s">
        <v>433</v>
      </c>
      <c r="B517" s="187"/>
      <c r="C517" s="187"/>
      <c r="D517" s="187"/>
      <c r="E517" s="187"/>
      <c r="F517" s="187"/>
      <c r="G517" s="187"/>
      <c r="H517" s="187"/>
      <c r="I517" s="187"/>
      <c r="J517" s="187"/>
      <c r="K517" s="187"/>
      <c r="L517" s="187"/>
      <c r="M517" s="187"/>
      <c r="N517" s="187"/>
      <c r="O517" s="187"/>
      <c r="P517" s="187"/>
      <c r="Q517" s="187"/>
      <c r="R517" s="187"/>
      <c r="S517" s="187"/>
      <c r="T517" s="187"/>
      <c r="U517" s="187"/>
      <c r="V517" s="187"/>
      <c r="W517" s="187"/>
      <c r="X517" s="165"/>
      <c r="Y517" s="165"/>
      <c r="Z517" s="178"/>
    </row>
    <row r="518" spans="1:26" s="120" customFormat="1" ht="18" customHeight="1">
      <c r="A518" s="53">
        <f>A509+1</f>
        <v>431</v>
      </c>
      <c r="B518" s="82" t="s">
        <v>434</v>
      </c>
      <c r="C518" s="155">
        <v>1993</v>
      </c>
      <c r="D518" s="68"/>
      <c r="E518" s="83">
        <v>2212.5</v>
      </c>
      <c r="F518" s="84">
        <v>2165.1999999999998</v>
      </c>
      <c r="G518" s="46">
        <f>H518+J518+K518+M518+O518+Q518+S518</f>
        <v>2010734.63</v>
      </c>
      <c r="H518" s="35">
        <v>0</v>
      </c>
      <c r="I518" s="35"/>
      <c r="J518" s="35">
        <v>0</v>
      </c>
      <c r="K518" s="35">
        <v>2010734.63</v>
      </c>
      <c r="L518" s="35">
        <f>K518/F518</f>
        <v>928.65999907629782</v>
      </c>
      <c r="M518" s="35">
        <v>0</v>
      </c>
      <c r="N518" s="35"/>
      <c r="O518" s="35">
        <v>0</v>
      </c>
      <c r="P518" s="35"/>
      <c r="Q518" s="35">
        <v>0</v>
      </c>
      <c r="R518" s="35"/>
      <c r="S518" s="35">
        <v>0</v>
      </c>
      <c r="T518" s="35">
        <v>0</v>
      </c>
      <c r="U518" s="35">
        <v>0</v>
      </c>
      <c r="V518" s="35">
        <v>0</v>
      </c>
      <c r="W518" s="136">
        <f>G518</f>
        <v>2010734.63</v>
      </c>
      <c r="X518" s="165">
        <v>2016</v>
      </c>
      <c r="Y518" s="165">
        <v>2016</v>
      </c>
      <c r="Z518" s="178">
        <f>Z509+1</f>
        <v>272</v>
      </c>
    </row>
    <row r="519" spans="1:26" s="120" customFormat="1" ht="18" customHeight="1">
      <c r="A519" s="185" t="s">
        <v>208</v>
      </c>
      <c r="B519" s="185"/>
      <c r="C519" s="155"/>
      <c r="D519" s="68"/>
      <c r="E519" s="29">
        <v>0</v>
      </c>
      <c r="F519" s="29">
        <v>0</v>
      </c>
      <c r="G519" s="19">
        <v>0</v>
      </c>
      <c r="H519" s="28">
        <v>0</v>
      </c>
      <c r="I519" s="28"/>
      <c r="J519" s="28">
        <v>0</v>
      </c>
      <c r="K519" s="28">
        <v>0</v>
      </c>
      <c r="L519" s="28"/>
      <c r="M519" s="28">
        <v>0</v>
      </c>
      <c r="N519" s="28"/>
      <c r="O519" s="28">
        <v>0</v>
      </c>
      <c r="P519" s="28"/>
      <c r="Q519" s="28">
        <v>0</v>
      </c>
      <c r="R519" s="28"/>
      <c r="S519" s="28">
        <v>0</v>
      </c>
      <c r="T519" s="28">
        <v>0</v>
      </c>
      <c r="U519" s="28">
        <v>0</v>
      </c>
      <c r="V519" s="28">
        <v>0</v>
      </c>
      <c r="W519" s="19">
        <v>0</v>
      </c>
      <c r="X519" s="20" t="s">
        <v>447</v>
      </c>
      <c r="Y519" s="20" t="s">
        <v>447</v>
      </c>
      <c r="Z519" s="178"/>
    </row>
    <row r="520" spans="1:26" s="120" customFormat="1" ht="18" customHeight="1">
      <c r="A520" s="185" t="s">
        <v>206</v>
      </c>
      <c r="B520" s="185"/>
      <c r="C520" s="155"/>
      <c r="D520" s="68"/>
      <c r="E520" s="29">
        <v>0</v>
      </c>
      <c r="F520" s="29">
        <v>0</v>
      </c>
      <c r="G520" s="19">
        <v>0</v>
      </c>
      <c r="H520" s="28">
        <v>0</v>
      </c>
      <c r="I520" s="28"/>
      <c r="J520" s="28">
        <v>0</v>
      </c>
      <c r="K520" s="28">
        <v>0</v>
      </c>
      <c r="L520" s="28"/>
      <c r="M520" s="28">
        <v>0</v>
      </c>
      <c r="N520" s="28"/>
      <c r="O520" s="28">
        <v>0</v>
      </c>
      <c r="P520" s="28"/>
      <c r="Q520" s="28">
        <v>0</v>
      </c>
      <c r="R520" s="28"/>
      <c r="S520" s="28">
        <v>0</v>
      </c>
      <c r="T520" s="28">
        <v>0</v>
      </c>
      <c r="U520" s="28">
        <v>0</v>
      </c>
      <c r="V520" s="28">
        <v>0</v>
      </c>
      <c r="W520" s="19">
        <v>0</v>
      </c>
      <c r="X520" s="20" t="s">
        <v>447</v>
      </c>
      <c r="Y520" s="20" t="s">
        <v>447</v>
      </c>
      <c r="Z520" s="178"/>
    </row>
    <row r="521" spans="1:26" s="120" customFormat="1" ht="18" customHeight="1">
      <c r="A521" s="185" t="s">
        <v>207</v>
      </c>
      <c r="B521" s="185"/>
      <c r="C521" s="152"/>
      <c r="D521" s="163"/>
      <c r="E521" s="29">
        <f>E518</f>
        <v>2212.5</v>
      </c>
      <c r="F521" s="29">
        <f>F518</f>
        <v>2165.1999999999998</v>
      </c>
      <c r="G521" s="19">
        <f t="shared" ref="G521:W521" si="63">G518</f>
        <v>2010734.63</v>
      </c>
      <c r="H521" s="28">
        <f t="shared" si="63"/>
        <v>0</v>
      </c>
      <c r="I521" s="28"/>
      <c r="J521" s="28">
        <f t="shared" si="63"/>
        <v>0</v>
      </c>
      <c r="K521" s="28">
        <f t="shared" si="63"/>
        <v>2010734.63</v>
      </c>
      <c r="L521" s="28"/>
      <c r="M521" s="28">
        <f t="shared" si="63"/>
        <v>0</v>
      </c>
      <c r="N521" s="28"/>
      <c r="O521" s="28">
        <f t="shared" si="63"/>
        <v>0</v>
      </c>
      <c r="P521" s="28"/>
      <c r="Q521" s="28">
        <f t="shared" si="63"/>
        <v>0</v>
      </c>
      <c r="R521" s="28"/>
      <c r="S521" s="28">
        <f t="shared" si="63"/>
        <v>0</v>
      </c>
      <c r="T521" s="28">
        <f t="shared" si="63"/>
        <v>0</v>
      </c>
      <c r="U521" s="28">
        <f t="shared" si="63"/>
        <v>0</v>
      </c>
      <c r="V521" s="28">
        <f t="shared" si="63"/>
        <v>0</v>
      </c>
      <c r="W521" s="19">
        <f t="shared" si="63"/>
        <v>2010734.63</v>
      </c>
      <c r="X521" s="20" t="s">
        <v>447</v>
      </c>
      <c r="Y521" s="20" t="s">
        <v>447</v>
      </c>
      <c r="Z521" s="178"/>
    </row>
    <row r="522" spans="1:26" s="120" customFormat="1" ht="17.25" customHeight="1">
      <c r="A522" s="187" t="s">
        <v>291</v>
      </c>
      <c r="B522" s="187"/>
      <c r="C522" s="187"/>
      <c r="D522" s="187"/>
      <c r="E522" s="187"/>
      <c r="F522" s="187"/>
      <c r="G522" s="187"/>
      <c r="H522" s="187"/>
      <c r="I522" s="187"/>
      <c r="J522" s="187"/>
      <c r="K522" s="187"/>
      <c r="L522" s="187"/>
      <c r="M522" s="187"/>
      <c r="N522" s="187"/>
      <c r="O522" s="187"/>
      <c r="P522" s="187"/>
      <c r="Q522" s="187"/>
      <c r="R522" s="187"/>
      <c r="S522" s="187"/>
      <c r="T522" s="187"/>
      <c r="U522" s="187"/>
      <c r="V522" s="187"/>
      <c r="W522" s="187"/>
      <c r="X522" s="165"/>
      <c r="Y522" s="165"/>
      <c r="Z522" s="178"/>
    </row>
    <row r="523" spans="1:26" s="122" customFormat="1" ht="18" customHeight="1">
      <c r="A523" s="165">
        <f>A518+1</f>
        <v>432</v>
      </c>
      <c r="B523" s="24" t="s">
        <v>292</v>
      </c>
      <c r="C523" s="148" t="s">
        <v>226</v>
      </c>
      <c r="D523" s="165"/>
      <c r="E523" s="49">
        <v>986.3</v>
      </c>
      <c r="F523" s="133">
        <v>784.1</v>
      </c>
      <c r="G523" s="46">
        <f>SUM(H523:S523)</f>
        <v>1300000</v>
      </c>
      <c r="H523" s="35">
        <v>182799</v>
      </c>
      <c r="I523" s="35"/>
      <c r="J523" s="35">
        <v>0</v>
      </c>
      <c r="K523" s="35">
        <v>1117201</v>
      </c>
      <c r="L523" s="35"/>
      <c r="M523" s="35">
        <v>0</v>
      </c>
      <c r="N523" s="35"/>
      <c r="O523" s="35">
        <v>0</v>
      </c>
      <c r="P523" s="35"/>
      <c r="Q523" s="35">
        <v>0</v>
      </c>
      <c r="R523" s="35"/>
      <c r="S523" s="35">
        <v>0</v>
      </c>
      <c r="T523" s="35">
        <v>0</v>
      </c>
      <c r="U523" s="35">
        <v>0</v>
      </c>
      <c r="V523" s="35">
        <v>0</v>
      </c>
      <c r="W523" s="46">
        <f>G523</f>
        <v>1300000</v>
      </c>
      <c r="X523" s="165">
        <v>2015</v>
      </c>
      <c r="Y523" s="165">
        <v>2015</v>
      </c>
      <c r="Z523" s="176"/>
    </row>
    <row r="524" spans="1:26" s="122" customFormat="1" ht="18" customHeight="1">
      <c r="A524" s="165">
        <f>A523+1</f>
        <v>433</v>
      </c>
      <c r="B524" s="24" t="s">
        <v>294</v>
      </c>
      <c r="C524" s="148" t="s">
        <v>226</v>
      </c>
      <c r="D524" s="165"/>
      <c r="E524" s="49">
        <v>486.7</v>
      </c>
      <c r="F524" s="133">
        <v>432.5</v>
      </c>
      <c r="G524" s="46">
        <f>SUM(H524:S524)</f>
        <v>642204</v>
      </c>
      <c r="H524" s="35">
        <v>134197</v>
      </c>
      <c r="I524" s="35"/>
      <c r="J524" s="35">
        <v>0</v>
      </c>
      <c r="K524" s="35">
        <v>508007</v>
      </c>
      <c r="L524" s="35"/>
      <c r="M524" s="35">
        <v>0</v>
      </c>
      <c r="N524" s="35"/>
      <c r="O524" s="35">
        <v>0</v>
      </c>
      <c r="P524" s="35"/>
      <c r="Q524" s="35">
        <v>0</v>
      </c>
      <c r="R524" s="35"/>
      <c r="S524" s="35">
        <v>0</v>
      </c>
      <c r="T524" s="35">
        <v>0</v>
      </c>
      <c r="U524" s="35">
        <v>0</v>
      </c>
      <c r="V524" s="35">
        <v>0</v>
      </c>
      <c r="W524" s="46">
        <f>G524</f>
        <v>642204</v>
      </c>
      <c r="X524" s="165">
        <v>2015</v>
      </c>
      <c r="Y524" s="165">
        <v>2015</v>
      </c>
      <c r="Z524" s="176"/>
    </row>
    <row r="525" spans="1:26" s="122" customFormat="1" ht="18" customHeight="1">
      <c r="A525" s="165">
        <f>A524+1</f>
        <v>434</v>
      </c>
      <c r="B525" s="24" t="s">
        <v>293</v>
      </c>
      <c r="C525" s="148" t="s">
        <v>226</v>
      </c>
      <c r="D525" s="165"/>
      <c r="E525" s="49">
        <v>1116</v>
      </c>
      <c r="F525" s="133">
        <v>986</v>
      </c>
      <c r="G525" s="46">
        <f>H525+J525+K525+M525+O525+Q525+S525</f>
        <v>1573249.98</v>
      </c>
      <c r="H525" s="35">
        <v>340832.2</v>
      </c>
      <c r="I525" s="35"/>
      <c r="J525" s="35">
        <v>0</v>
      </c>
      <c r="K525" s="35">
        <v>1232417.78</v>
      </c>
      <c r="L525" s="35">
        <f>K525/F525</f>
        <v>1249.9166125760648</v>
      </c>
      <c r="M525" s="35">
        <v>0</v>
      </c>
      <c r="N525" s="35"/>
      <c r="O525" s="35">
        <v>0</v>
      </c>
      <c r="P525" s="35"/>
      <c r="Q525" s="35">
        <v>0</v>
      </c>
      <c r="R525" s="35"/>
      <c r="S525" s="35">
        <v>0</v>
      </c>
      <c r="T525" s="35">
        <v>0</v>
      </c>
      <c r="U525" s="35">
        <v>0</v>
      </c>
      <c r="V525" s="35">
        <v>0</v>
      </c>
      <c r="W525" s="46">
        <f>G525</f>
        <v>1573249.98</v>
      </c>
      <c r="X525" s="165">
        <v>2015</v>
      </c>
      <c r="Y525" s="165">
        <v>2016</v>
      </c>
      <c r="Z525" s="176">
        <f>Z518+1</f>
        <v>273</v>
      </c>
    </row>
    <row r="526" spans="1:26" s="120" customFormat="1" ht="19.5" customHeight="1">
      <c r="A526" s="185" t="s">
        <v>208</v>
      </c>
      <c r="B526" s="185"/>
      <c r="C526" s="155"/>
      <c r="D526" s="68"/>
      <c r="E526" s="29">
        <v>0</v>
      </c>
      <c r="F526" s="28">
        <v>0</v>
      </c>
      <c r="G526" s="19">
        <v>0</v>
      </c>
      <c r="H526" s="28">
        <v>0</v>
      </c>
      <c r="I526" s="28"/>
      <c r="J526" s="28">
        <v>0</v>
      </c>
      <c r="K526" s="28">
        <v>0</v>
      </c>
      <c r="L526" s="28"/>
      <c r="M526" s="28">
        <v>0</v>
      </c>
      <c r="N526" s="28"/>
      <c r="O526" s="28">
        <v>0</v>
      </c>
      <c r="P526" s="28"/>
      <c r="Q526" s="28">
        <v>0</v>
      </c>
      <c r="R526" s="28"/>
      <c r="S526" s="28">
        <v>0</v>
      </c>
      <c r="T526" s="28">
        <v>0</v>
      </c>
      <c r="U526" s="28">
        <v>0</v>
      </c>
      <c r="V526" s="28">
        <v>0</v>
      </c>
      <c r="W526" s="19">
        <v>0</v>
      </c>
      <c r="X526" s="20" t="s">
        <v>447</v>
      </c>
      <c r="Y526" s="20" t="s">
        <v>447</v>
      </c>
      <c r="Z526" s="178"/>
    </row>
    <row r="527" spans="1:26" s="120" customFormat="1" ht="19.5" customHeight="1">
      <c r="A527" s="185" t="s">
        <v>206</v>
      </c>
      <c r="B527" s="185"/>
      <c r="C527" s="152"/>
      <c r="D527" s="163"/>
      <c r="E527" s="29">
        <f>SUM(E523:E524)</f>
        <v>1473</v>
      </c>
      <c r="F527" s="29">
        <f>SUM(F523:F524)</f>
        <v>1216.5999999999999</v>
      </c>
      <c r="G527" s="19">
        <f>SUM(G523:G524)</f>
        <v>1942204</v>
      </c>
      <c r="H527" s="19">
        <f t="shared" ref="H527:W527" si="64">SUM(H523:H524)</f>
        <v>316996</v>
      </c>
      <c r="I527" s="19"/>
      <c r="J527" s="19">
        <f t="shared" si="64"/>
        <v>0</v>
      </c>
      <c r="K527" s="19">
        <f t="shared" si="64"/>
        <v>1625208</v>
      </c>
      <c r="L527" s="19"/>
      <c r="M527" s="19">
        <f t="shared" si="64"/>
        <v>0</v>
      </c>
      <c r="N527" s="19"/>
      <c r="O527" s="19">
        <f t="shared" si="64"/>
        <v>0</v>
      </c>
      <c r="P527" s="19"/>
      <c r="Q527" s="19">
        <f t="shared" si="64"/>
        <v>0</v>
      </c>
      <c r="R527" s="19"/>
      <c r="S527" s="19">
        <f t="shared" si="64"/>
        <v>0</v>
      </c>
      <c r="T527" s="19">
        <f t="shared" si="64"/>
        <v>0</v>
      </c>
      <c r="U527" s="19">
        <f t="shared" si="64"/>
        <v>0</v>
      </c>
      <c r="V527" s="19">
        <f t="shared" si="64"/>
        <v>0</v>
      </c>
      <c r="W527" s="19">
        <f t="shared" si="64"/>
        <v>1942204</v>
      </c>
      <c r="X527" s="20" t="s">
        <v>447</v>
      </c>
      <c r="Y527" s="20" t="s">
        <v>447</v>
      </c>
      <c r="Z527" s="178"/>
    </row>
    <row r="528" spans="1:26" s="120" customFormat="1" ht="19.5" customHeight="1">
      <c r="A528" s="185" t="s">
        <v>207</v>
      </c>
      <c r="B528" s="185"/>
      <c r="C528" s="152"/>
      <c r="D528" s="163"/>
      <c r="E528" s="29">
        <f>E525</f>
        <v>1116</v>
      </c>
      <c r="F528" s="29">
        <f>F525</f>
        <v>986</v>
      </c>
      <c r="G528" s="19">
        <f>G525</f>
        <v>1573249.98</v>
      </c>
      <c r="H528" s="19">
        <f t="shared" ref="H528:W528" si="65">H525</f>
        <v>340832.2</v>
      </c>
      <c r="I528" s="19"/>
      <c r="J528" s="19">
        <f t="shared" si="65"/>
        <v>0</v>
      </c>
      <c r="K528" s="19">
        <f t="shared" si="65"/>
        <v>1232417.78</v>
      </c>
      <c r="L528" s="19"/>
      <c r="M528" s="19">
        <f t="shared" si="65"/>
        <v>0</v>
      </c>
      <c r="N528" s="19"/>
      <c r="O528" s="19">
        <f t="shared" si="65"/>
        <v>0</v>
      </c>
      <c r="P528" s="19"/>
      <c r="Q528" s="19">
        <f t="shared" si="65"/>
        <v>0</v>
      </c>
      <c r="R528" s="19"/>
      <c r="S528" s="19">
        <f t="shared" si="65"/>
        <v>0</v>
      </c>
      <c r="T528" s="19">
        <f t="shared" si="65"/>
        <v>0</v>
      </c>
      <c r="U528" s="19">
        <f t="shared" si="65"/>
        <v>0</v>
      </c>
      <c r="V528" s="19">
        <f t="shared" si="65"/>
        <v>0</v>
      </c>
      <c r="W528" s="19">
        <f t="shared" si="65"/>
        <v>1573249.98</v>
      </c>
      <c r="X528" s="20" t="s">
        <v>447</v>
      </c>
      <c r="Y528" s="20" t="s">
        <v>447</v>
      </c>
      <c r="Z528" s="178"/>
    </row>
    <row r="529" spans="1:26" s="120" customFormat="1" ht="17.25" customHeight="1">
      <c r="A529" s="187" t="s">
        <v>295</v>
      </c>
      <c r="B529" s="187"/>
      <c r="C529" s="187"/>
      <c r="D529" s="187"/>
      <c r="E529" s="187"/>
      <c r="F529" s="187"/>
      <c r="G529" s="187"/>
      <c r="H529" s="187"/>
      <c r="I529" s="187"/>
      <c r="J529" s="187"/>
      <c r="K529" s="187"/>
      <c r="L529" s="187"/>
      <c r="M529" s="187"/>
      <c r="N529" s="187"/>
      <c r="O529" s="187"/>
      <c r="P529" s="187"/>
      <c r="Q529" s="187"/>
      <c r="R529" s="187"/>
      <c r="S529" s="187"/>
      <c r="T529" s="187"/>
      <c r="U529" s="187"/>
      <c r="V529" s="187"/>
      <c r="W529" s="187"/>
      <c r="X529" s="165"/>
      <c r="Y529" s="165"/>
      <c r="Z529" s="178"/>
    </row>
    <row r="530" spans="1:26" s="122" customFormat="1" ht="18" customHeight="1">
      <c r="A530" s="165">
        <f>A525+1</f>
        <v>435</v>
      </c>
      <c r="B530" s="24" t="s">
        <v>431</v>
      </c>
      <c r="C530" s="148">
        <v>1955</v>
      </c>
      <c r="D530" s="165"/>
      <c r="E530" s="49">
        <v>296</v>
      </c>
      <c r="F530" s="49">
        <v>269.2</v>
      </c>
      <c r="G530" s="46">
        <f>H530+J530+K530+M530+O530+Q530+S530</f>
        <v>1892371.0099999998</v>
      </c>
      <c r="H530" s="35">
        <f>ROUND((314.58+186.47+282.48+285.03+707.35)*F530,2)</f>
        <v>478074.97</v>
      </c>
      <c r="I530" s="35">
        <f>H530/F530</f>
        <v>1775.9099925705796</v>
      </c>
      <c r="J530" s="35">
        <v>0</v>
      </c>
      <c r="K530" s="35">
        <f>F530*3980.76</f>
        <v>1071620.5919999999</v>
      </c>
      <c r="L530" s="35">
        <f>K530/F530</f>
        <v>3980.7599999999998</v>
      </c>
      <c r="M530" s="35">
        <v>0</v>
      </c>
      <c r="N530" s="35"/>
      <c r="O530" s="35">
        <f>F530*1272.94</f>
        <v>342675.44799999997</v>
      </c>
      <c r="P530" s="35">
        <f>O530/F530</f>
        <v>1272.94</v>
      </c>
      <c r="Q530" s="35">
        <v>0</v>
      </c>
      <c r="R530" s="35"/>
      <c r="S530" s="35">
        <v>0</v>
      </c>
      <c r="T530" s="35">
        <v>0</v>
      </c>
      <c r="U530" s="35">
        <v>0</v>
      </c>
      <c r="V530" s="35">
        <v>0</v>
      </c>
      <c r="W530" s="46">
        <f>G530</f>
        <v>1892371.0099999998</v>
      </c>
      <c r="X530" s="165">
        <v>2016</v>
      </c>
      <c r="Y530" s="165">
        <v>2016</v>
      </c>
      <c r="Z530" s="176">
        <f>Z525+1</f>
        <v>274</v>
      </c>
    </row>
    <row r="531" spans="1:26" s="122" customFormat="1" ht="18" customHeight="1">
      <c r="A531" s="165">
        <f>A530+1</f>
        <v>436</v>
      </c>
      <c r="B531" s="24" t="s">
        <v>430</v>
      </c>
      <c r="C531" s="148">
        <v>1959</v>
      </c>
      <c r="D531" s="165"/>
      <c r="E531" s="49">
        <f>392.1+230.1+50.9+65</f>
        <v>738.1</v>
      </c>
      <c r="F531" s="49">
        <f>392.1+230.1+50.9-35.2-9.3</f>
        <v>628.6</v>
      </c>
      <c r="G531" s="46">
        <f>H531+J531+K531+M531+O531+Q531+S531</f>
        <v>4418812.8499999996</v>
      </c>
      <c r="H531" s="35">
        <f>ROUND((314.58+186.47+282.48+285.03+707.35)*F531,2)</f>
        <v>1116337.03</v>
      </c>
      <c r="I531" s="35">
        <f>H531/F531</f>
        <v>1775.9100063633471</v>
      </c>
      <c r="J531" s="35">
        <v>0</v>
      </c>
      <c r="K531" s="35">
        <f>F531*3980.76</f>
        <v>2502305.736</v>
      </c>
      <c r="L531" s="35">
        <f>K531/F531</f>
        <v>3980.7599999999998</v>
      </c>
      <c r="M531" s="35">
        <v>0</v>
      </c>
      <c r="N531" s="35"/>
      <c r="O531" s="35">
        <f>F531*1272.94</f>
        <v>800170.08400000003</v>
      </c>
      <c r="P531" s="35">
        <f>O531/F531</f>
        <v>1272.94</v>
      </c>
      <c r="Q531" s="35">
        <v>0</v>
      </c>
      <c r="R531" s="35"/>
      <c r="S531" s="35">
        <v>0</v>
      </c>
      <c r="T531" s="35">
        <v>0</v>
      </c>
      <c r="U531" s="35">
        <v>0</v>
      </c>
      <c r="V531" s="35">
        <v>0</v>
      </c>
      <c r="W531" s="46">
        <f>G531</f>
        <v>4418812.8499999996</v>
      </c>
      <c r="X531" s="165">
        <v>2016</v>
      </c>
      <c r="Y531" s="165">
        <v>2016</v>
      </c>
      <c r="Z531" s="176">
        <f>Z530+1</f>
        <v>275</v>
      </c>
    </row>
    <row r="532" spans="1:26" s="122" customFormat="1" ht="18" customHeight="1">
      <c r="A532" s="165">
        <f t="shared" ref="A532:A539" si="66">A531+1</f>
        <v>437</v>
      </c>
      <c r="B532" s="24" t="s">
        <v>494</v>
      </c>
      <c r="C532" s="148" t="s">
        <v>262</v>
      </c>
      <c r="D532" s="165"/>
      <c r="E532" s="49">
        <v>545.9</v>
      </c>
      <c r="F532" s="49">
        <v>500.2</v>
      </c>
      <c r="G532" s="46">
        <f>H532+J532+K532+M532+O532+Q532+S532</f>
        <v>3516210.92</v>
      </c>
      <c r="H532" s="35">
        <f>ROUND((314.58+186.47+282.48+285.03+707.35)*F532,2)</f>
        <v>888310.18</v>
      </c>
      <c r="I532" s="35">
        <f>H532/F532</f>
        <v>1775.9099960015994</v>
      </c>
      <c r="J532" s="35">
        <v>0</v>
      </c>
      <c r="K532" s="35">
        <f>F532*3980.76</f>
        <v>1991176.152</v>
      </c>
      <c r="L532" s="35">
        <f>K532/F532</f>
        <v>3980.76</v>
      </c>
      <c r="M532" s="35">
        <v>0</v>
      </c>
      <c r="N532" s="35"/>
      <c r="O532" s="35">
        <f>F532*1272.94</f>
        <v>636724.58799999999</v>
      </c>
      <c r="P532" s="35">
        <f>O532/F532</f>
        <v>1272.94</v>
      </c>
      <c r="Q532" s="35">
        <v>0</v>
      </c>
      <c r="R532" s="35"/>
      <c r="S532" s="35">
        <v>0</v>
      </c>
      <c r="T532" s="35">
        <v>0</v>
      </c>
      <c r="U532" s="35">
        <v>0</v>
      </c>
      <c r="V532" s="35">
        <v>0</v>
      </c>
      <c r="W532" s="46">
        <f>G532</f>
        <v>3516210.92</v>
      </c>
      <c r="X532" s="165">
        <v>2015</v>
      </c>
      <c r="Y532" s="165">
        <v>2016</v>
      </c>
      <c r="Z532" s="176">
        <f t="shared" ref="Z532:Z539" si="67">Z531+1</f>
        <v>276</v>
      </c>
    </row>
    <row r="533" spans="1:26" s="122" customFormat="1" ht="18" customHeight="1">
      <c r="A533" s="165">
        <f t="shared" si="66"/>
        <v>438</v>
      </c>
      <c r="B533" s="24" t="s">
        <v>495</v>
      </c>
      <c r="C533" s="148">
        <v>1965</v>
      </c>
      <c r="D533" s="165"/>
      <c r="E533" s="49">
        <v>1696.2</v>
      </c>
      <c r="F533" s="49">
        <v>1615.7</v>
      </c>
      <c r="G533" s="46">
        <f>H533+J533+K533+M533+O533+Q533+S533</f>
        <v>606705</v>
      </c>
      <c r="H533" s="35">
        <f>ROUND(F533*360.93,2)+23550.4</f>
        <v>606705</v>
      </c>
      <c r="I533" s="35">
        <f>H533/F533</f>
        <v>375.50597264343628</v>
      </c>
      <c r="J533" s="35">
        <v>0</v>
      </c>
      <c r="K533" s="35">
        <v>0</v>
      </c>
      <c r="L533" s="35">
        <f>K533/F533</f>
        <v>0</v>
      </c>
      <c r="M533" s="35">
        <v>0</v>
      </c>
      <c r="N533" s="35"/>
      <c r="O533" s="35">
        <v>0</v>
      </c>
      <c r="P533" s="35">
        <f>O533/F533</f>
        <v>0</v>
      </c>
      <c r="Q533" s="35">
        <v>0</v>
      </c>
      <c r="R533" s="35"/>
      <c r="S533" s="35">
        <v>0</v>
      </c>
      <c r="T533" s="35">
        <v>0</v>
      </c>
      <c r="U533" s="35">
        <v>0</v>
      </c>
      <c r="V533" s="35">
        <v>23550.400000000001</v>
      </c>
      <c r="W533" s="46">
        <v>583154.6</v>
      </c>
      <c r="X533" s="165">
        <v>2016</v>
      </c>
      <c r="Y533" s="165">
        <v>2017</v>
      </c>
      <c r="Z533" s="176">
        <f t="shared" si="67"/>
        <v>277</v>
      </c>
    </row>
    <row r="534" spans="1:26" s="122" customFormat="1" ht="18" customHeight="1">
      <c r="A534" s="165">
        <f t="shared" si="66"/>
        <v>439</v>
      </c>
      <c r="B534" s="24" t="s">
        <v>496</v>
      </c>
      <c r="C534" s="148">
        <v>1959</v>
      </c>
      <c r="D534" s="165"/>
      <c r="E534" s="49">
        <v>1000.8</v>
      </c>
      <c r="F534" s="49">
        <v>906.6</v>
      </c>
      <c r="G534" s="46">
        <f>H534+J534+K534+M534+O534+Q534+S534</f>
        <v>2245929.25</v>
      </c>
      <c r="H534" s="35">
        <v>0</v>
      </c>
      <c r="I534" s="35"/>
      <c r="J534" s="35">
        <v>0</v>
      </c>
      <c r="K534" s="35">
        <v>1446217.39</v>
      </c>
      <c r="L534" s="35">
        <f>K534/F534</f>
        <v>1595.2100044120889</v>
      </c>
      <c r="M534" s="35">
        <v>0</v>
      </c>
      <c r="N534" s="35"/>
      <c r="O534" s="35">
        <v>799711.86</v>
      </c>
      <c r="P534" s="35">
        <f>O534/F534</f>
        <v>882.09999999999991</v>
      </c>
      <c r="Q534" s="35">
        <v>0</v>
      </c>
      <c r="R534" s="35"/>
      <c r="S534" s="35">
        <v>0</v>
      </c>
      <c r="T534" s="35">
        <v>0</v>
      </c>
      <c r="U534" s="35">
        <v>0</v>
      </c>
      <c r="V534" s="35">
        <v>0</v>
      </c>
      <c r="W534" s="46">
        <f>G534</f>
        <v>2245929.25</v>
      </c>
      <c r="X534" s="165">
        <v>2016</v>
      </c>
      <c r="Y534" s="165">
        <v>2016</v>
      </c>
      <c r="Z534" s="176">
        <f t="shared" si="67"/>
        <v>278</v>
      </c>
    </row>
    <row r="535" spans="1:26" s="122" customFormat="1" ht="18" customHeight="1">
      <c r="A535" s="165">
        <f t="shared" si="66"/>
        <v>440</v>
      </c>
      <c r="B535" s="24" t="s">
        <v>429</v>
      </c>
      <c r="C535" s="148">
        <v>1982</v>
      </c>
      <c r="D535" s="165"/>
      <c r="E535" s="49">
        <v>3065.4</v>
      </c>
      <c r="F535" s="49">
        <v>2711.7</v>
      </c>
      <c r="G535" s="46">
        <f>H535+J535+K535+M535+O535+Q535+S535</f>
        <v>6015092.9399999995</v>
      </c>
      <c r="H535" s="35">
        <f>ROUND((518.04+818.06)*F535,2)</f>
        <v>3623102.37</v>
      </c>
      <c r="I535" s="35">
        <f>H535/F535</f>
        <v>1336.1000000000001</v>
      </c>
      <c r="J535" s="35">
        <v>0</v>
      </c>
      <c r="K535" s="35">
        <v>0</v>
      </c>
      <c r="L535" s="35">
        <f>K535/F535</f>
        <v>0</v>
      </c>
      <c r="M535" s="35">
        <v>0</v>
      </c>
      <c r="N535" s="35"/>
      <c r="O535" s="35">
        <v>2391990.5699999998</v>
      </c>
      <c r="P535" s="35">
        <f>O535/F535</f>
        <v>882.1</v>
      </c>
      <c r="Q535" s="35">
        <v>0</v>
      </c>
      <c r="R535" s="35"/>
      <c r="S535" s="35">
        <v>0</v>
      </c>
      <c r="T535" s="35">
        <v>0</v>
      </c>
      <c r="U535" s="35">
        <v>0</v>
      </c>
      <c r="V535" s="35">
        <v>0</v>
      </c>
      <c r="W535" s="46">
        <f>G535</f>
        <v>6015092.9399999995</v>
      </c>
      <c r="X535" s="165">
        <v>2016</v>
      </c>
      <c r="Y535" s="165">
        <v>2016</v>
      </c>
      <c r="Z535" s="176">
        <f t="shared" si="67"/>
        <v>279</v>
      </c>
    </row>
    <row r="536" spans="1:26" s="122" customFormat="1" ht="18" customHeight="1">
      <c r="A536" s="165">
        <f t="shared" si="66"/>
        <v>441</v>
      </c>
      <c r="B536" s="24" t="s">
        <v>296</v>
      </c>
      <c r="C536" s="148">
        <v>1956</v>
      </c>
      <c r="D536" s="165"/>
      <c r="E536" s="49">
        <v>508</v>
      </c>
      <c r="F536" s="44">
        <v>469.2</v>
      </c>
      <c r="G536" s="46">
        <f>H536+J536+K536+M536+O536+Q536+S536</f>
        <v>1311892.05</v>
      </c>
      <c r="H536" s="35">
        <f>696503.94+84751.06</f>
        <v>781255</v>
      </c>
      <c r="I536" s="35">
        <f>H536/F536</f>
        <v>1665.0788576300085</v>
      </c>
      <c r="J536" s="35">
        <v>0</v>
      </c>
      <c r="K536" s="35">
        <v>0</v>
      </c>
      <c r="L536" s="35">
        <f>K536/F536</f>
        <v>0</v>
      </c>
      <c r="M536" s="35">
        <v>116755.73</v>
      </c>
      <c r="N536" s="35">
        <f>M536/F536</f>
        <v>248.84000426257458</v>
      </c>
      <c r="O536" s="35">
        <v>413881.32</v>
      </c>
      <c r="P536" s="35">
        <f>O536/F536</f>
        <v>882.1</v>
      </c>
      <c r="Q536" s="35">
        <v>0</v>
      </c>
      <c r="R536" s="35"/>
      <c r="S536" s="35">
        <v>0</v>
      </c>
      <c r="T536" s="35">
        <v>0</v>
      </c>
      <c r="U536" s="35">
        <v>0</v>
      </c>
      <c r="V536" s="35">
        <v>84751.06</v>
      </c>
      <c r="W536" s="46">
        <v>1227140.99</v>
      </c>
      <c r="X536" s="165">
        <v>2015</v>
      </c>
      <c r="Y536" s="165">
        <v>2016</v>
      </c>
      <c r="Z536" s="176">
        <f t="shared" si="67"/>
        <v>280</v>
      </c>
    </row>
    <row r="537" spans="1:26" s="122" customFormat="1" ht="18" customHeight="1">
      <c r="A537" s="165">
        <f>A536+1</f>
        <v>442</v>
      </c>
      <c r="B537" s="24" t="s">
        <v>428</v>
      </c>
      <c r="C537" s="148">
        <v>1995</v>
      </c>
      <c r="D537" s="165"/>
      <c r="E537" s="49">
        <v>4172.3</v>
      </c>
      <c r="F537" s="49">
        <v>3934.4</v>
      </c>
      <c r="G537" s="46">
        <f>H537+J537+K537+M537+O537+Q537+S537</f>
        <v>2054543.68</v>
      </c>
      <c r="H537" s="35">
        <v>1163126.67</v>
      </c>
      <c r="I537" s="35">
        <f>H537/F537</f>
        <v>295.62999949166323</v>
      </c>
      <c r="J537" s="35">
        <v>0</v>
      </c>
      <c r="K537" s="35">
        <v>0</v>
      </c>
      <c r="L537" s="35">
        <f>K537/F537</f>
        <v>0</v>
      </c>
      <c r="M537" s="35">
        <v>0</v>
      </c>
      <c r="N537" s="35"/>
      <c r="O537" s="35">
        <v>891417.01</v>
      </c>
      <c r="P537" s="35">
        <f>O537/F537</f>
        <v>226.57000050833673</v>
      </c>
      <c r="Q537" s="35">
        <v>0</v>
      </c>
      <c r="R537" s="35"/>
      <c r="S537" s="35">
        <v>0</v>
      </c>
      <c r="T537" s="35">
        <v>0</v>
      </c>
      <c r="U537" s="35">
        <v>0</v>
      </c>
      <c r="V537" s="35">
        <v>0</v>
      </c>
      <c r="W537" s="46">
        <f>G537</f>
        <v>2054543.68</v>
      </c>
      <c r="X537" s="165">
        <v>2016</v>
      </c>
      <c r="Y537" s="165">
        <v>2016</v>
      </c>
      <c r="Z537" s="176">
        <f t="shared" si="67"/>
        <v>281</v>
      </c>
    </row>
    <row r="538" spans="1:26" s="122" customFormat="1" ht="18" customHeight="1">
      <c r="A538" s="165">
        <f t="shared" si="66"/>
        <v>443</v>
      </c>
      <c r="B538" s="48" t="s">
        <v>432</v>
      </c>
      <c r="C538" s="148">
        <v>1964</v>
      </c>
      <c r="D538" s="165"/>
      <c r="E538" s="49">
        <v>3531.5</v>
      </c>
      <c r="F538" s="49">
        <v>3274.1</v>
      </c>
      <c r="G538" s="46">
        <f>H538+J538+K538+M538+O538+Q538+S538</f>
        <v>2994295.41</v>
      </c>
      <c r="H538" s="35">
        <v>0</v>
      </c>
      <c r="I538" s="35"/>
      <c r="J538" s="35">
        <v>0</v>
      </c>
      <c r="K538" s="35">
        <v>2994295.41</v>
      </c>
      <c r="L538" s="35">
        <f>K538/F538</f>
        <v>914.53999877829028</v>
      </c>
      <c r="M538" s="35">
        <v>0</v>
      </c>
      <c r="N538" s="35"/>
      <c r="O538" s="35">
        <v>0</v>
      </c>
      <c r="P538" s="35">
        <f>O538/F538</f>
        <v>0</v>
      </c>
      <c r="Q538" s="35">
        <v>0</v>
      </c>
      <c r="R538" s="35"/>
      <c r="S538" s="35">
        <v>0</v>
      </c>
      <c r="T538" s="35">
        <v>0</v>
      </c>
      <c r="U538" s="35">
        <v>0</v>
      </c>
      <c r="V538" s="35">
        <v>0</v>
      </c>
      <c r="W538" s="46">
        <f>G538</f>
        <v>2994295.41</v>
      </c>
      <c r="X538" s="165">
        <v>2016</v>
      </c>
      <c r="Y538" s="165">
        <v>2016</v>
      </c>
      <c r="Z538" s="176">
        <f t="shared" si="67"/>
        <v>282</v>
      </c>
    </row>
    <row r="539" spans="1:26" s="122" customFormat="1" ht="18" customHeight="1">
      <c r="A539" s="165">
        <f t="shared" si="66"/>
        <v>444</v>
      </c>
      <c r="B539" s="24" t="s">
        <v>297</v>
      </c>
      <c r="C539" s="148" t="s">
        <v>251</v>
      </c>
      <c r="D539" s="165"/>
      <c r="E539" s="49">
        <v>2449.1</v>
      </c>
      <c r="F539" s="49">
        <v>2321.1</v>
      </c>
      <c r="G539" s="46">
        <f>H539+J539+K539+M539+O539+Q539+S539</f>
        <v>7510998.9900000002</v>
      </c>
      <c r="H539" s="35">
        <v>3180361.25</v>
      </c>
      <c r="I539" s="46">
        <f>H539/F539</f>
        <v>1370.1957046228083</v>
      </c>
      <c r="J539" s="35">
        <v>0</v>
      </c>
      <c r="K539" s="35">
        <v>2697467.41</v>
      </c>
      <c r="L539" s="35">
        <f>K539/F539</f>
        <v>1162.1504502175694</v>
      </c>
      <c r="M539" s="35">
        <v>0</v>
      </c>
      <c r="N539" s="35"/>
      <c r="O539" s="35">
        <v>1633170.33</v>
      </c>
      <c r="P539" s="35">
        <f>O539/F539</f>
        <v>703.61911593640957</v>
      </c>
      <c r="Q539" s="35">
        <v>0</v>
      </c>
      <c r="R539" s="35"/>
      <c r="S539" s="35">
        <v>0</v>
      </c>
      <c r="T539" s="35">
        <v>0</v>
      </c>
      <c r="U539" s="35">
        <v>0</v>
      </c>
      <c r="V539" s="35">
        <v>0</v>
      </c>
      <c r="W539" s="46">
        <f>G539</f>
        <v>7510998.9900000002</v>
      </c>
      <c r="X539" s="165">
        <v>2015</v>
      </c>
      <c r="Y539" s="165">
        <v>2016</v>
      </c>
      <c r="Z539" s="176">
        <f t="shared" si="67"/>
        <v>283</v>
      </c>
    </row>
    <row r="540" spans="1:26" s="120" customFormat="1" ht="19.5" customHeight="1">
      <c r="A540" s="185" t="s">
        <v>208</v>
      </c>
      <c r="B540" s="185"/>
      <c r="C540" s="155"/>
      <c r="D540" s="68"/>
      <c r="E540" s="29">
        <v>0</v>
      </c>
      <c r="F540" s="28">
        <v>0</v>
      </c>
      <c r="G540" s="19">
        <v>0</v>
      </c>
      <c r="H540" s="28">
        <v>0</v>
      </c>
      <c r="I540" s="28"/>
      <c r="J540" s="28">
        <v>0</v>
      </c>
      <c r="K540" s="28">
        <v>0</v>
      </c>
      <c r="L540" s="28"/>
      <c r="M540" s="28">
        <v>0</v>
      </c>
      <c r="N540" s="28"/>
      <c r="O540" s="28">
        <v>0</v>
      </c>
      <c r="P540" s="28"/>
      <c r="Q540" s="28">
        <v>0</v>
      </c>
      <c r="R540" s="28"/>
      <c r="S540" s="28">
        <v>0</v>
      </c>
      <c r="T540" s="28">
        <v>0</v>
      </c>
      <c r="U540" s="28">
        <v>0</v>
      </c>
      <c r="V540" s="28">
        <v>0</v>
      </c>
      <c r="W540" s="19">
        <v>0</v>
      </c>
      <c r="X540" s="20" t="s">
        <v>447</v>
      </c>
      <c r="Y540" s="20" t="s">
        <v>447</v>
      </c>
      <c r="Z540" s="178"/>
    </row>
    <row r="541" spans="1:26" s="120" customFormat="1" ht="19.5" customHeight="1">
      <c r="A541" s="185" t="s">
        <v>206</v>
      </c>
      <c r="B541" s="185"/>
      <c r="C541" s="152"/>
      <c r="D541" s="163"/>
      <c r="E541" s="29">
        <v>0</v>
      </c>
      <c r="F541" s="29">
        <v>0</v>
      </c>
      <c r="G541" s="19">
        <v>0</v>
      </c>
      <c r="H541" s="29">
        <v>0</v>
      </c>
      <c r="I541" s="29">
        <v>0</v>
      </c>
      <c r="J541" s="29">
        <v>0</v>
      </c>
      <c r="K541" s="29">
        <v>0</v>
      </c>
      <c r="L541" s="29">
        <v>0</v>
      </c>
      <c r="M541" s="29">
        <v>0</v>
      </c>
      <c r="N541" s="29">
        <v>0</v>
      </c>
      <c r="O541" s="29">
        <v>0</v>
      </c>
      <c r="P541" s="29">
        <v>0</v>
      </c>
      <c r="Q541" s="29">
        <v>0</v>
      </c>
      <c r="R541" s="29">
        <v>0</v>
      </c>
      <c r="S541" s="29">
        <v>0</v>
      </c>
      <c r="T541" s="29">
        <v>0</v>
      </c>
      <c r="U541" s="29">
        <v>0</v>
      </c>
      <c r="V541" s="29">
        <v>0</v>
      </c>
      <c r="W541" s="19">
        <v>0</v>
      </c>
      <c r="X541" s="20" t="s">
        <v>447</v>
      </c>
      <c r="Y541" s="20" t="s">
        <v>447</v>
      </c>
      <c r="Z541" s="178"/>
    </row>
    <row r="542" spans="1:26" s="120" customFormat="1" ht="19.5" customHeight="1">
      <c r="A542" s="185" t="s">
        <v>207</v>
      </c>
      <c r="B542" s="185"/>
      <c r="C542" s="152"/>
      <c r="D542" s="163"/>
      <c r="E542" s="29">
        <f>SUM(E530:E539)</f>
        <v>18003.3</v>
      </c>
      <c r="F542" s="29">
        <f t="shared" ref="F542:W542" si="68">SUM(F530:F539)</f>
        <v>16630.8</v>
      </c>
      <c r="G542" s="19">
        <f t="shared" si="68"/>
        <v>32566852.100000001</v>
      </c>
      <c r="H542" s="19">
        <f t="shared" si="68"/>
        <v>11837272.470000001</v>
      </c>
      <c r="I542" s="19">
        <f t="shared" si="68"/>
        <v>10370.240529323442</v>
      </c>
      <c r="J542" s="19">
        <f t="shared" si="68"/>
        <v>0</v>
      </c>
      <c r="K542" s="19">
        <f t="shared" si="68"/>
        <v>12703082.689999999</v>
      </c>
      <c r="L542" s="19">
        <f t="shared" si="68"/>
        <v>15614.180453407949</v>
      </c>
      <c r="M542" s="19">
        <f t="shared" si="68"/>
        <v>116755.73</v>
      </c>
      <c r="N542" s="19">
        <f t="shared" si="68"/>
        <v>248.84000426257458</v>
      </c>
      <c r="O542" s="19">
        <f t="shared" si="68"/>
        <v>7909741.21</v>
      </c>
      <c r="P542" s="19">
        <f t="shared" si="68"/>
        <v>7395.3091164447469</v>
      </c>
      <c r="Q542" s="19">
        <f t="shared" si="68"/>
        <v>0</v>
      </c>
      <c r="R542" s="19">
        <f t="shared" si="68"/>
        <v>0</v>
      </c>
      <c r="S542" s="19">
        <f t="shared" si="68"/>
        <v>0</v>
      </c>
      <c r="T542" s="19">
        <f t="shared" si="68"/>
        <v>0</v>
      </c>
      <c r="U542" s="19">
        <f t="shared" si="68"/>
        <v>0</v>
      </c>
      <c r="V542" s="19">
        <f t="shared" si="68"/>
        <v>108301.45999999999</v>
      </c>
      <c r="W542" s="19">
        <f t="shared" si="68"/>
        <v>32458550.640000001</v>
      </c>
      <c r="X542" s="20" t="s">
        <v>447</v>
      </c>
      <c r="Y542" s="20" t="s">
        <v>447</v>
      </c>
      <c r="Z542" s="178"/>
    </row>
    <row r="543" spans="1:26" s="120" customFormat="1" ht="17.25" customHeight="1">
      <c r="A543" s="187" t="s">
        <v>435</v>
      </c>
      <c r="B543" s="187"/>
      <c r="C543" s="187"/>
      <c r="D543" s="187"/>
      <c r="E543" s="187"/>
      <c r="F543" s="187"/>
      <c r="G543" s="187"/>
      <c r="H543" s="187"/>
      <c r="I543" s="187"/>
      <c r="J543" s="187"/>
      <c r="K543" s="187"/>
      <c r="L543" s="187"/>
      <c r="M543" s="187"/>
      <c r="N543" s="187"/>
      <c r="O543" s="187"/>
      <c r="P543" s="187"/>
      <c r="Q543" s="187"/>
      <c r="R543" s="187"/>
      <c r="S543" s="187"/>
      <c r="T543" s="187"/>
      <c r="U543" s="187"/>
      <c r="V543" s="187"/>
      <c r="W543" s="187"/>
      <c r="X543" s="163"/>
      <c r="Y543" s="163"/>
      <c r="Z543" s="178"/>
    </row>
    <row r="544" spans="1:26" s="120" customFormat="1" ht="18" customHeight="1">
      <c r="A544" s="165">
        <f>A539+1</f>
        <v>445</v>
      </c>
      <c r="B544" s="24" t="s">
        <v>470</v>
      </c>
      <c r="C544" s="148">
        <v>1966</v>
      </c>
      <c r="D544" s="165"/>
      <c r="E544" s="85">
        <v>1753</v>
      </c>
      <c r="F544" s="49">
        <v>1631.8</v>
      </c>
      <c r="G544" s="46">
        <f>H544+J544+K544+M544+O544+Q544+S544</f>
        <v>2603063.6800000002</v>
      </c>
      <c r="H544" s="35">
        <v>0</v>
      </c>
      <c r="I544" s="35"/>
      <c r="J544" s="35">
        <v>0</v>
      </c>
      <c r="K544" s="80">
        <v>2603063.6800000002</v>
      </c>
      <c r="L544" s="80">
        <f>K544/F544</f>
        <v>1595.2100012256406</v>
      </c>
      <c r="M544" s="35">
        <v>0</v>
      </c>
      <c r="N544" s="35"/>
      <c r="O544" s="35">
        <v>0</v>
      </c>
      <c r="P544" s="35"/>
      <c r="Q544" s="35">
        <v>0</v>
      </c>
      <c r="R544" s="35"/>
      <c r="S544" s="35">
        <v>0</v>
      </c>
      <c r="T544" s="35">
        <v>0</v>
      </c>
      <c r="U544" s="35">
        <v>0</v>
      </c>
      <c r="V544" s="35">
        <v>0</v>
      </c>
      <c r="W544" s="46">
        <f>G544</f>
        <v>2603063.6800000002</v>
      </c>
      <c r="X544" s="165">
        <v>2016</v>
      </c>
      <c r="Y544" s="165">
        <v>2016</v>
      </c>
      <c r="Z544" s="178">
        <f>Z539+1</f>
        <v>284</v>
      </c>
    </row>
    <row r="545" spans="1:26" s="120" customFormat="1" ht="19.5" customHeight="1">
      <c r="A545" s="185" t="s">
        <v>208</v>
      </c>
      <c r="B545" s="185"/>
      <c r="C545" s="155"/>
      <c r="D545" s="165"/>
      <c r="E545" s="137">
        <v>0</v>
      </c>
      <c r="F545" s="137">
        <v>0</v>
      </c>
      <c r="G545" s="19">
        <v>0</v>
      </c>
      <c r="H545" s="28">
        <v>0</v>
      </c>
      <c r="I545" s="28"/>
      <c r="J545" s="28">
        <v>0</v>
      </c>
      <c r="K545" s="28">
        <v>0</v>
      </c>
      <c r="L545" s="28"/>
      <c r="M545" s="28">
        <v>0</v>
      </c>
      <c r="N545" s="28"/>
      <c r="O545" s="28">
        <v>0</v>
      </c>
      <c r="P545" s="28"/>
      <c r="Q545" s="28">
        <v>0</v>
      </c>
      <c r="R545" s="28"/>
      <c r="S545" s="28">
        <v>0</v>
      </c>
      <c r="T545" s="28">
        <v>0</v>
      </c>
      <c r="U545" s="28">
        <v>0</v>
      </c>
      <c r="V545" s="28">
        <v>0</v>
      </c>
      <c r="W545" s="19">
        <v>0</v>
      </c>
      <c r="X545" s="20" t="s">
        <v>447</v>
      </c>
      <c r="Y545" s="20" t="s">
        <v>447</v>
      </c>
      <c r="Z545" s="178"/>
    </row>
    <row r="546" spans="1:26" s="120" customFormat="1" ht="19.5" customHeight="1">
      <c r="A546" s="185" t="s">
        <v>206</v>
      </c>
      <c r="B546" s="185"/>
      <c r="C546" s="155"/>
      <c r="D546" s="165"/>
      <c r="E546" s="137">
        <v>0</v>
      </c>
      <c r="F546" s="137">
        <v>0</v>
      </c>
      <c r="G546" s="19">
        <v>0</v>
      </c>
      <c r="H546" s="28">
        <v>0</v>
      </c>
      <c r="I546" s="28"/>
      <c r="J546" s="28">
        <v>0</v>
      </c>
      <c r="K546" s="28">
        <v>0</v>
      </c>
      <c r="L546" s="28"/>
      <c r="M546" s="28">
        <v>0</v>
      </c>
      <c r="N546" s="28"/>
      <c r="O546" s="28">
        <v>0</v>
      </c>
      <c r="P546" s="28"/>
      <c r="Q546" s="28">
        <v>0</v>
      </c>
      <c r="R546" s="28"/>
      <c r="S546" s="28">
        <v>0</v>
      </c>
      <c r="T546" s="28">
        <v>0</v>
      </c>
      <c r="U546" s="28">
        <v>0</v>
      </c>
      <c r="V546" s="28">
        <v>0</v>
      </c>
      <c r="W546" s="19">
        <v>0</v>
      </c>
      <c r="X546" s="20" t="s">
        <v>447</v>
      </c>
      <c r="Y546" s="20" t="s">
        <v>447</v>
      </c>
      <c r="Z546" s="178"/>
    </row>
    <row r="547" spans="1:26" s="120" customFormat="1" ht="19.5" customHeight="1">
      <c r="A547" s="185" t="s">
        <v>207</v>
      </c>
      <c r="B547" s="185"/>
      <c r="C547" s="152"/>
      <c r="D547" s="163"/>
      <c r="E547" s="29">
        <f>E544</f>
        <v>1753</v>
      </c>
      <c r="F547" s="29">
        <f>F544</f>
        <v>1631.8</v>
      </c>
      <c r="G547" s="19">
        <f>G544</f>
        <v>2603063.6800000002</v>
      </c>
      <c r="H547" s="28">
        <f>H544</f>
        <v>0</v>
      </c>
      <c r="I547" s="28"/>
      <c r="J547" s="28">
        <f>J544</f>
        <v>0</v>
      </c>
      <c r="K547" s="28">
        <f>K544</f>
        <v>2603063.6800000002</v>
      </c>
      <c r="L547" s="28"/>
      <c r="M547" s="28">
        <f>M544</f>
        <v>0</v>
      </c>
      <c r="N547" s="28"/>
      <c r="O547" s="28">
        <f>O544</f>
        <v>0</v>
      </c>
      <c r="P547" s="28"/>
      <c r="Q547" s="28">
        <f>Q544</f>
        <v>0</v>
      </c>
      <c r="R547" s="28"/>
      <c r="S547" s="28">
        <f>S544</f>
        <v>0</v>
      </c>
      <c r="T547" s="28">
        <f>T544</f>
        <v>0</v>
      </c>
      <c r="U547" s="28">
        <f>U544</f>
        <v>0</v>
      </c>
      <c r="V547" s="28">
        <f>V544</f>
        <v>0</v>
      </c>
      <c r="W547" s="19">
        <f>W544</f>
        <v>2603063.6800000002</v>
      </c>
      <c r="X547" s="20" t="s">
        <v>447</v>
      </c>
      <c r="Y547" s="20" t="s">
        <v>447</v>
      </c>
      <c r="Z547" s="178"/>
    </row>
    <row r="548" spans="1:26" s="120" customFormat="1" ht="17.25" customHeight="1">
      <c r="A548" s="187" t="s">
        <v>436</v>
      </c>
      <c r="B548" s="187"/>
      <c r="C548" s="187"/>
      <c r="D548" s="187"/>
      <c r="E548" s="187"/>
      <c r="F548" s="187"/>
      <c r="G548" s="187"/>
      <c r="H548" s="187"/>
      <c r="I548" s="187"/>
      <c r="J548" s="187"/>
      <c r="K548" s="187"/>
      <c r="L548" s="187"/>
      <c r="M548" s="187"/>
      <c r="N548" s="187"/>
      <c r="O548" s="187"/>
      <c r="P548" s="187"/>
      <c r="Q548" s="187"/>
      <c r="R548" s="187"/>
      <c r="S548" s="187"/>
      <c r="T548" s="187"/>
      <c r="U548" s="187"/>
      <c r="V548" s="187"/>
      <c r="W548" s="187"/>
      <c r="X548" s="163"/>
      <c r="Y548" s="163"/>
      <c r="Z548" s="178"/>
    </row>
    <row r="549" spans="1:26" s="120" customFormat="1" ht="18" customHeight="1">
      <c r="A549" s="86">
        <f>A544+1</f>
        <v>446</v>
      </c>
      <c r="B549" s="87" t="s">
        <v>437</v>
      </c>
      <c r="C549" s="148">
        <v>1977</v>
      </c>
      <c r="D549" s="165"/>
      <c r="E549" s="36">
        <v>4126.7</v>
      </c>
      <c r="F549" s="138">
        <v>3382.8</v>
      </c>
      <c r="G549" s="46">
        <f>H549+J549+K549+M549+O549+Q549+S549</f>
        <v>1238104.8</v>
      </c>
      <c r="H549" s="23">
        <f>ROUND((151+215)*F549,2)</f>
        <v>1238104.8</v>
      </c>
      <c r="I549" s="35">
        <f>H549/F549</f>
        <v>366</v>
      </c>
      <c r="J549" s="35">
        <v>0</v>
      </c>
      <c r="K549" s="35">
        <v>0</v>
      </c>
      <c r="L549" s="35"/>
      <c r="M549" s="35">
        <v>0</v>
      </c>
      <c r="N549" s="35"/>
      <c r="O549" s="35">
        <v>0</v>
      </c>
      <c r="P549" s="35"/>
      <c r="Q549" s="35">
        <v>0</v>
      </c>
      <c r="R549" s="35"/>
      <c r="S549" s="35">
        <v>0</v>
      </c>
      <c r="T549" s="35">
        <v>0</v>
      </c>
      <c r="U549" s="35">
        <v>0</v>
      </c>
      <c r="V549" s="46">
        <f>G549-W549</f>
        <v>101977.68999999994</v>
      </c>
      <c r="W549" s="46">
        <v>1136127.1100000001</v>
      </c>
      <c r="X549" s="165">
        <v>2016</v>
      </c>
      <c r="Y549" s="165">
        <v>2016</v>
      </c>
      <c r="Z549" s="178">
        <f>Z544+1</f>
        <v>285</v>
      </c>
    </row>
    <row r="550" spans="1:26" s="120" customFormat="1" ht="18" customHeight="1">
      <c r="A550" s="86">
        <f>A549+1</f>
        <v>447</v>
      </c>
      <c r="B550" s="87" t="s">
        <v>438</v>
      </c>
      <c r="C550" s="148">
        <v>1977</v>
      </c>
      <c r="D550" s="165"/>
      <c r="E550" s="36">
        <v>2703.2</v>
      </c>
      <c r="F550" s="138">
        <v>2686.2</v>
      </c>
      <c r="G550" s="46">
        <f>H550+J550+K550+M550+O550+Q550+S550</f>
        <v>942802.48</v>
      </c>
      <c r="H550" s="23">
        <f>ROUND((145.42+205.56)*F550,2)</f>
        <v>942802.48</v>
      </c>
      <c r="I550" s="35">
        <f>H550/F550</f>
        <v>350.98000148909239</v>
      </c>
      <c r="J550" s="35">
        <v>0</v>
      </c>
      <c r="K550" s="35">
        <v>0</v>
      </c>
      <c r="L550" s="35"/>
      <c r="M550" s="35">
        <v>0</v>
      </c>
      <c r="N550" s="35"/>
      <c r="O550" s="35">
        <v>0</v>
      </c>
      <c r="P550" s="35"/>
      <c r="Q550" s="35">
        <v>0</v>
      </c>
      <c r="R550" s="35"/>
      <c r="S550" s="35">
        <v>0</v>
      </c>
      <c r="T550" s="35">
        <v>0</v>
      </c>
      <c r="U550" s="35">
        <v>0</v>
      </c>
      <c r="V550" s="46">
        <f>G550-W550</f>
        <v>77654.839999999967</v>
      </c>
      <c r="W550" s="46">
        <v>865147.64</v>
      </c>
      <c r="X550" s="165">
        <v>2016</v>
      </c>
      <c r="Y550" s="165">
        <v>2016</v>
      </c>
      <c r="Z550" s="178">
        <f>Z549+1</f>
        <v>286</v>
      </c>
    </row>
    <row r="551" spans="1:26" s="120" customFormat="1" ht="18" customHeight="1">
      <c r="A551" s="86">
        <f>A550+1</f>
        <v>448</v>
      </c>
      <c r="B551" s="87" t="s">
        <v>439</v>
      </c>
      <c r="C551" s="148">
        <v>1980</v>
      </c>
      <c r="D551" s="165"/>
      <c r="E551" s="36">
        <v>3886.7</v>
      </c>
      <c r="F551" s="138">
        <v>2929.4</v>
      </c>
      <c r="G551" s="46">
        <f>H551+J551+K551+M551+O551+Q551+S551</f>
        <v>4673008.17</v>
      </c>
      <c r="H551" s="35">
        <v>0</v>
      </c>
      <c r="I551" s="35">
        <f>H551/F551</f>
        <v>0</v>
      </c>
      <c r="J551" s="35">
        <v>0</v>
      </c>
      <c r="K551" s="88">
        <v>4673008.17</v>
      </c>
      <c r="L551" s="35">
        <f>K551/F551</f>
        <v>1595.2099986345327</v>
      </c>
      <c r="M551" s="35">
        <v>0</v>
      </c>
      <c r="N551" s="35"/>
      <c r="O551" s="35">
        <v>0</v>
      </c>
      <c r="P551" s="35"/>
      <c r="Q551" s="35">
        <v>0</v>
      </c>
      <c r="R551" s="35"/>
      <c r="S551" s="35">
        <v>0</v>
      </c>
      <c r="T551" s="35">
        <v>0</v>
      </c>
      <c r="U551" s="35">
        <v>0</v>
      </c>
      <c r="V551" s="46">
        <f>G551-W551</f>
        <v>384896.83999999985</v>
      </c>
      <c r="W551" s="46">
        <v>4288111.33</v>
      </c>
      <c r="X551" s="165">
        <v>2016</v>
      </c>
      <c r="Y551" s="165">
        <v>2016</v>
      </c>
      <c r="Z551" s="178">
        <f t="shared" ref="Z551:Z552" si="69">Z550+1</f>
        <v>287</v>
      </c>
    </row>
    <row r="552" spans="1:26" s="120" customFormat="1" ht="18" customHeight="1">
      <c r="A552" s="86">
        <f>A551+1</f>
        <v>449</v>
      </c>
      <c r="B552" s="87" t="s">
        <v>440</v>
      </c>
      <c r="C552" s="148">
        <v>1974</v>
      </c>
      <c r="D552" s="165"/>
      <c r="E552" s="36">
        <v>2360.6999999999998</v>
      </c>
      <c r="F552" s="138">
        <v>1794.8</v>
      </c>
      <c r="G552" s="46">
        <f>H552+J552+K552+M552+O552+Q552+S552</f>
        <v>1468254.09</v>
      </c>
      <c r="H552" s="89">
        <f>ROUND(818.06*F552,2)</f>
        <v>1468254.09</v>
      </c>
      <c r="I552" s="35">
        <f>H552/F552</f>
        <v>818.06000111433036</v>
      </c>
      <c r="J552" s="35">
        <v>0</v>
      </c>
      <c r="K552" s="35">
        <v>0</v>
      </c>
      <c r="L552" s="35"/>
      <c r="M552" s="35">
        <v>0</v>
      </c>
      <c r="N552" s="35"/>
      <c r="O552" s="35">
        <v>0</v>
      </c>
      <c r="P552" s="35"/>
      <c r="Q552" s="35">
        <v>0</v>
      </c>
      <c r="R552" s="35"/>
      <c r="S552" s="35">
        <v>0</v>
      </c>
      <c r="T552" s="35">
        <v>0</v>
      </c>
      <c r="U552" s="35">
        <v>0</v>
      </c>
      <c r="V552" s="46">
        <f>G552-W552</f>
        <v>120934.17000000016</v>
      </c>
      <c r="W552" s="46">
        <v>1347319.92</v>
      </c>
      <c r="X552" s="165">
        <v>2016</v>
      </c>
      <c r="Y552" s="165">
        <v>2016</v>
      </c>
      <c r="Z552" s="178">
        <f t="shared" si="69"/>
        <v>288</v>
      </c>
    </row>
    <row r="553" spans="1:26" s="120" customFormat="1" ht="19.5" customHeight="1">
      <c r="A553" s="185" t="s">
        <v>208</v>
      </c>
      <c r="B553" s="185"/>
      <c r="C553" s="155"/>
      <c r="D553" s="68"/>
      <c r="E553" s="28">
        <v>0</v>
      </c>
      <c r="F553" s="28">
        <v>0</v>
      </c>
      <c r="G553" s="19">
        <v>0</v>
      </c>
      <c r="H553" s="28">
        <v>0</v>
      </c>
      <c r="I553" s="28"/>
      <c r="J553" s="28">
        <v>0</v>
      </c>
      <c r="K553" s="28">
        <v>0</v>
      </c>
      <c r="L553" s="28"/>
      <c r="M553" s="28">
        <v>0</v>
      </c>
      <c r="N553" s="28"/>
      <c r="O553" s="28">
        <v>0</v>
      </c>
      <c r="P553" s="28"/>
      <c r="Q553" s="28">
        <v>0</v>
      </c>
      <c r="R553" s="28"/>
      <c r="S553" s="28">
        <v>0</v>
      </c>
      <c r="T553" s="28">
        <v>0</v>
      </c>
      <c r="U553" s="28">
        <v>0</v>
      </c>
      <c r="V553" s="28">
        <v>0</v>
      </c>
      <c r="W553" s="19">
        <v>0</v>
      </c>
      <c r="X553" s="20" t="s">
        <v>447</v>
      </c>
      <c r="Y553" s="20" t="s">
        <v>447</v>
      </c>
      <c r="Z553" s="178"/>
    </row>
    <row r="554" spans="1:26" s="120" customFormat="1" ht="19.5" customHeight="1">
      <c r="A554" s="185" t="s">
        <v>206</v>
      </c>
      <c r="B554" s="185"/>
      <c r="C554" s="152"/>
      <c r="D554" s="163"/>
      <c r="E554" s="28">
        <v>0</v>
      </c>
      <c r="F554" s="28">
        <v>0</v>
      </c>
      <c r="G554" s="19">
        <v>0</v>
      </c>
      <c r="H554" s="28">
        <v>0</v>
      </c>
      <c r="I554" s="28"/>
      <c r="J554" s="28">
        <v>0</v>
      </c>
      <c r="K554" s="28">
        <v>0</v>
      </c>
      <c r="L554" s="28"/>
      <c r="M554" s="28">
        <v>0</v>
      </c>
      <c r="N554" s="28"/>
      <c r="O554" s="28">
        <v>0</v>
      </c>
      <c r="P554" s="28"/>
      <c r="Q554" s="28">
        <v>0</v>
      </c>
      <c r="R554" s="28"/>
      <c r="S554" s="28">
        <v>0</v>
      </c>
      <c r="T554" s="28">
        <v>0</v>
      </c>
      <c r="U554" s="28">
        <v>0</v>
      </c>
      <c r="V554" s="28">
        <v>0</v>
      </c>
      <c r="W554" s="19">
        <v>0</v>
      </c>
      <c r="X554" s="20" t="s">
        <v>447</v>
      </c>
      <c r="Y554" s="20" t="s">
        <v>447</v>
      </c>
      <c r="Z554" s="178"/>
    </row>
    <row r="555" spans="1:26" s="120" customFormat="1" ht="19.5" customHeight="1">
      <c r="A555" s="185" t="s">
        <v>207</v>
      </c>
      <c r="B555" s="185"/>
      <c r="C555" s="152"/>
      <c r="D555" s="163"/>
      <c r="E555" s="28">
        <f>SUM(E549:E552)</f>
        <v>13077.3</v>
      </c>
      <c r="F555" s="28">
        <f>SUM(F549:F552)</f>
        <v>10793.199999999999</v>
      </c>
      <c r="G555" s="19">
        <f t="shared" ref="G555:W555" si="70">SUM(G549:G552)</f>
        <v>8322169.54</v>
      </c>
      <c r="H555" s="28">
        <f t="shared" si="70"/>
        <v>3649161.37</v>
      </c>
      <c r="I555" s="28"/>
      <c r="J555" s="28">
        <f t="shared" si="70"/>
        <v>0</v>
      </c>
      <c r="K555" s="28">
        <f t="shared" si="70"/>
        <v>4673008.17</v>
      </c>
      <c r="L555" s="28">
        <f t="shared" si="70"/>
        <v>1595.2099986345327</v>
      </c>
      <c r="M555" s="28">
        <f t="shared" si="70"/>
        <v>0</v>
      </c>
      <c r="N555" s="28">
        <f t="shared" si="70"/>
        <v>0</v>
      </c>
      <c r="O555" s="28">
        <f t="shared" si="70"/>
        <v>0</v>
      </c>
      <c r="P555" s="28">
        <f t="shared" si="70"/>
        <v>0</v>
      </c>
      <c r="Q555" s="28">
        <f t="shared" si="70"/>
        <v>0</v>
      </c>
      <c r="R555" s="28">
        <f t="shared" si="70"/>
        <v>0</v>
      </c>
      <c r="S555" s="28">
        <f t="shared" si="70"/>
        <v>0</v>
      </c>
      <c r="T555" s="28">
        <f t="shared" si="70"/>
        <v>0</v>
      </c>
      <c r="U555" s="28">
        <f t="shared" si="70"/>
        <v>0</v>
      </c>
      <c r="V555" s="28">
        <f>SUM(V549:V554)</f>
        <v>685463.53999999992</v>
      </c>
      <c r="W555" s="19">
        <f t="shared" si="70"/>
        <v>7636706</v>
      </c>
      <c r="X555" s="20" t="s">
        <v>447</v>
      </c>
      <c r="Y555" s="20" t="s">
        <v>447</v>
      </c>
      <c r="Z555" s="178"/>
    </row>
    <row r="556" spans="1:26" s="120" customFormat="1" ht="17.25" customHeight="1">
      <c r="A556" s="187" t="s">
        <v>298</v>
      </c>
      <c r="B556" s="187"/>
      <c r="C556" s="187"/>
      <c r="D556" s="187"/>
      <c r="E556" s="187"/>
      <c r="F556" s="187"/>
      <c r="G556" s="187"/>
      <c r="H556" s="187"/>
      <c r="I556" s="187"/>
      <c r="J556" s="187"/>
      <c r="K556" s="187"/>
      <c r="L556" s="187"/>
      <c r="M556" s="187"/>
      <c r="N556" s="187"/>
      <c r="O556" s="187"/>
      <c r="P556" s="187"/>
      <c r="Q556" s="187"/>
      <c r="R556" s="187"/>
      <c r="S556" s="187"/>
      <c r="T556" s="187"/>
      <c r="U556" s="187"/>
      <c r="V556" s="187"/>
      <c r="W556" s="187"/>
      <c r="X556" s="165"/>
      <c r="Y556" s="165"/>
      <c r="Z556" s="178"/>
    </row>
    <row r="557" spans="1:26" s="122" customFormat="1" ht="18" customHeight="1">
      <c r="A557" s="165">
        <f>A552+1</f>
        <v>450</v>
      </c>
      <c r="B557" s="24" t="s">
        <v>299</v>
      </c>
      <c r="C557" s="148" t="s">
        <v>20</v>
      </c>
      <c r="D557" s="165"/>
      <c r="E557" s="49">
        <v>1646.3</v>
      </c>
      <c r="F557" s="49">
        <v>1145.5999999999999</v>
      </c>
      <c r="G557" s="46">
        <f>SUM(H557:S557)</f>
        <v>1818000</v>
      </c>
      <c r="H557" s="35">
        <v>0</v>
      </c>
      <c r="I557" s="35"/>
      <c r="J557" s="35">
        <v>0</v>
      </c>
      <c r="K557" s="35">
        <v>1818000</v>
      </c>
      <c r="L557" s="35"/>
      <c r="M557" s="35">
        <v>0</v>
      </c>
      <c r="N557" s="35"/>
      <c r="O557" s="35">
        <v>0</v>
      </c>
      <c r="P557" s="35"/>
      <c r="Q557" s="35">
        <v>0</v>
      </c>
      <c r="R557" s="35"/>
      <c r="S557" s="35">
        <v>0</v>
      </c>
      <c r="T557" s="35">
        <v>0</v>
      </c>
      <c r="U557" s="35">
        <v>0</v>
      </c>
      <c r="V557" s="35">
        <f>G557-W557</f>
        <v>141563.3899999999</v>
      </c>
      <c r="W557" s="46">
        <v>1676436.61</v>
      </c>
      <c r="X557" s="165">
        <v>2015</v>
      </c>
      <c r="Y557" s="165">
        <v>2015</v>
      </c>
      <c r="Z557" s="176"/>
    </row>
    <row r="558" spans="1:26" s="122" customFormat="1" ht="18" customHeight="1">
      <c r="A558" s="165">
        <f t="shared" ref="A558:A563" si="71">A557+1</f>
        <v>451</v>
      </c>
      <c r="B558" s="24" t="s">
        <v>300</v>
      </c>
      <c r="C558" s="148" t="s">
        <v>256</v>
      </c>
      <c r="D558" s="165"/>
      <c r="E558" s="49">
        <v>4089.2</v>
      </c>
      <c r="F558" s="49">
        <v>3546.2</v>
      </c>
      <c r="G558" s="46">
        <f>SUM(H558:S558)</f>
        <v>4564455</v>
      </c>
      <c r="H558" s="35">
        <v>0</v>
      </c>
      <c r="I558" s="35"/>
      <c r="J558" s="35">
        <v>0</v>
      </c>
      <c r="K558" s="35">
        <v>4564455</v>
      </c>
      <c r="L558" s="35"/>
      <c r="M558" s="35">
        <v>0</v>
      </c>
      <c r="N558" s="35"/>
      <c r="O558" s="35">
        <v>0</v>
      </c>
      <c r="P558" s="35"/>
      <c r="Q558" s="35">
        <v>0</v>
      </c>
      <c r="R558" s="35"/>
      <c r="S558" s="35">
        <v>0</v>
      </c>
      <c r="T558" s="35">
        <v>0</v>
      </c>
      <c r="U558" s="35">
        <v>0</v>
      </c>
      <c r="V558" s="35">
        <f>G558-W558</f>
        <v>700187.39999999991</v>
      </c>
      <c r="W558" s="46">
        <v>3864267.6</v>
      </c>
      <c r="X558" s="165">
        <v>2015</v>
      </c>
      <c r="Y558" s="165">
        <v>2015</v>
      </c>
      <c r="Z558" s="176"/>
    </row>
    <row r="559" spans="1:26" s="122" customFormat="1" ht="18" customHeight="1">
      <c r="A559" s="165">
        <f t="shared" si="71"/>
        <v>452</v>
      </c>
      <c r="B559" s="24" t="s">
        <v>301</v>
      </c>
      <c r="C559" s="148" t="s">
        <v>302</v>
      </c>
      <c r="D559" s="165"/>
      <c r="E559" s="49">
        <v>3922.4</v>
      </c>
      <c r="F559" s="49">
        <v>3408.9</v>
      </c>
      <c r="G559" s="46">
        <f>SUM(H559:S559)</f>
        <v>4369600.38</v>
      </c>
      <c r="H559" s="35">
        <v>0</v>
      </c>
      <c r="I559" s="35"/>
      <c r="J559" s="35">
        <v>0</v>
      </c>
      <c r="K559" s="35">
        <v>4369600.38</v>
      </c>
      <c r="L559" s="35"/>
      <c r="M559" s="35">
        <v>0</v>
      </c>
      <c r="N559" s="35"/>
      <c r="O559" s="35">
        <v>0</v>
      </c>
      <c r="P559" s="35"/>
      <c r="Q559" s="35">
        <v>0</v>
      </c>
      <c r="R559" s="35"/>
      <c r="S559" s="35">
        <v>0</v>
      </c>
      <c r="T559" s="35">
        <v>0</v>
      </c>
      <c r="U559" s="35">
        <v>0</v>
      </c>
      <c r="V559" s="35">
        <f>G559-W559</f>
        <v>670296.69999999972</v>
      </c>
      <c r="W559" s="46">
        <v>3699303.68</v>
      </c>
      <c r="X559" s="165">
        <v>2015</v>
      </c>
      <c r="Y559" s="165">
        <v>2015</v>
      </c>
      <c r="Z559" s="176"/>
    </row>
    <row r="560" spans="1:26" s="120" customFormat="1" ht="18" customHeight="1">
      <c r="A560" s="165">
        <f t="shared" si="71"/>
        <v>453</v>
      </c>
      <c r="B560" s="90" t="s">
        <v>442</v>
      </c>
      <c r="C560" s="156">
        <v>1964</v>
      </c>
      <c r="D560" s="91"/>
      <c r="E560" s="92">
        <v>2789.3</v>
      </c>
      <c r="F560" s="92">
        <v>2597.8000000000002</v>
      </c>
      <c r="G560" s="46">
        <f>H560+J560+K560+M560+O560+Q560+S560</f>
        <v>4144036.54</v>
      </c>
      <c r="H560" s="35">
        <v>0</v>
      </c>
      <c r="I560" s="35"/>
      <c r="J560" s="35">
        <v>0</v>
      </c>
      <c r="K560" s="93">
        <v>4144036.54</v>
      </c>
      <c r="L560" s="35">
        <f>K560/F560</f>
        <v>1595.2100007698821</v>
      </c>
      <c r="M560" s="35">
        <v>0</v>
      </c>
      <c r="N560" s="35"/>
      <c r="O560" s="35">
        <v>0</v>
      </c>
      <c r="P560" s="35"/>
      <c r="Q560" s="35">
        <v>0</v>
      </c>
      <c r="R560" s="35"/>
      <c r="S560" s="35">
        <v>0</v>
      </c>
      <c r="T560" s="35">
        <v>0</v>
      </c>
      <c r="U560" s="35">
        <v>0</v>
      </c>
      <c r="V560" s="35">
        <v>0</v>
      </c>
      <c r="W560" s="94">
        <f>G560</f>
        <v>4144036.54</v>
      </c>
      <c r="X560" s="165">
        <v>2016</v>
      </c>
      <c r="Y560" s="165">
        <v>2016</v>
      </c>
      <c r="Z560" s="178">
        <f>Z552+1</f>
        <v>289</v>
      </c>
    </row>
    <row r="561" spans="1:26" s="120" customFormat="1" ht="18" customHeight="1">
      <c r="A561" s="165">
        <f t="shared" si="71"/>
        <v>454</v>
      </c>
      <c r="B561" s="43" t="s">
        <v>635</v>
      </c>
      <c r="C561" s="148">
        <v>1936</v>
      </c>
      <c r="D561" s="180"/>
      <c r="E561" s="55">
        <v>351.9</v>
      </c>
      <c r="F561" s="55">
        <v>318.3</v>
      </c>
      <c r="G561" s="46">
        <f>H561+J561+K561+M561+O561+Q561+S561</f>
        <v>931135.72200000007</v>
      </c>
      <c r="H561" s="35">
        <v>0</v>
      </c>
      <c r="I561" s="35"/>
      <c r="J561" s="35">
        <v>0</v>
      </c>
      <c r="K561" s="35">
        <v>0</v>
      </c>
      <c r="L561" s="35">
        <f>K561/F561</f>
        <v>0</v>
      </c>
      <c r="M561" s="35">
        <v>0</v>
      </c>
      <c r="N561" s="35"/>
      <c r="O561" s="23">
        <f>F561*2925.34</f>
        <v>931135.72200000007</v>
      </c>
      <c r="P561" s="35">
        <f>O561/F561</f>
        <v>2925.34</v>
      </c>
      <c r="Q561" s="35">
        <v>0</v>
      </c>
      <c r="R561" s="35"/>
      <c r="S561" s="35">
        <v>0</v>
      </c>
      <c r="T561" s="35">
        <v>0</v>
      </c>
      <c r="U561" s="35">
        <v>0</v>
      </c>
      <c r="V561" s="35">
        <v>0</v>
      </c>
      <c r="W561" s="27">
        <f>G561</f>
        <v>931135.72200000007</v>
      </c>
      <c r="X561" s="165">
        <v>2016</v>
      </c>
      <c r="Y561" s="165">
        <v>2017</v>
      </c>
      <c r="Z561" s="178">
        <f>Z560+1</f>
        <v>290</v>
      </c>
    </row>
    <row r="562" spans="1:26" s="120" customFormat="1" ht="18" customHeight="1">
      <c r="A562" s="165">
        <f t="shared" si="71"/>
        <v>455</v>
      </c>
      <c r="B562" s="90" t="s">
        <v>443</v>
      </c>
      <c r="C562" s="156">
        <v>1974</v>
      </c>
      <c r="D562" s="91"/>
      <c r="E562" s="92">
        <v>2245.5</v>
      </c>
      <c r="F562" s="92">
        <v>2097.1999999999998</v>
      </c>
      <c r="G562" s="46">
        <f>H562+J562+K562+M562+O562+Q562+S562</f>
        <v>1917973.29</v>
      </c>
      <c r="H562" s="35">
        <v>0</v>
      </c>
      <c r="I562" s="35"/>
      <c r="J562" s="35">
        <v>0</v>
      </c>
      <c r="K562" s="93">
        <v>1917973.29</v>
      </c>
      <c r="L562" s="35">
        <f>K562/F562</f>
        <v>914.54000095365257</v>
      </c>
      <c r="M562" s="35">
        <v>0</v>
      </c>
      <c r="N562" s="35"/>
      <c r="O562" s="35">
        <v>0</v>
      </c>
      <c r="P562" s="35"/>
      <c r="Q562" s="35">
        <v>0</v>
      </c>
      <c r="R562" s="35"/>
      <c r="S562" s="35">
        <v>0</v>
      </c>
      <c r="T562" s="35">
        <v>0</v>
      </c>
      <c r="U562" s="35">
        <v>0</v>
      </c>
      <c r="V562" s="35">
        <v>0</v>
      </c>
      <c r="W562" s="94">
        <f>G562</f>
        <v>1917973.29</v>
      </c>
      <c r="X562" s="165">
        <v>2016</v>
      </c>
      <c r="Y562" s="165">
        <v>2016</v>
      </c>
      <c r="Z562" s="178">
        <f t="shared" ref="Z562:Z563" si="72">Z561+1</f>
        <v>291</v>
      </c>
    </row>
    <row r="563" spans="1:26" s="122" customFormat="1" ht="18" customHeight="1">
      <c r="A563" s="165">
        <f t="shared" si="71"/>
        <v>456</v>
      </c>
      <c r="B563" s="90" t="s">
        <v>441</v>
      </c>
      <c r="C563" s="156">
        <v>1988</v>
      </c>
      <c r="D563" s="91"/>
      <c r="E563" s="92">
        <v>3016.4</v>
      </c>
      <c r="F563" s="92">
        <v>2659.4</v>
      </c>
      <c r="G563" s="46">
        <f>H563+J563+K563+M563+O563+Q563+S563</f>
        <v>4021580.94</v>
      </c>
      <c r="H563" s="35">
        <v>0</v>
      </c>
      <c r="I563" s="35"/>
      <c r="J563" s="93">
        <v>4021580.94</v>
      </c>
      <c r="K563" s="35">
        <v>0</v>
      </c>
      <c r="L563" s="35">
        <f>K563/F563</f>
        <v>0</v>
      </c>
      <c r="M563" s="35">
        <v>0</v>
      </c>
      <c r="N563" s="35"/>
      <c r="O563" s="35">
        <v>0</v>
      </c>
      <c r="P563" s="35"/>
      <c r="Q563" s="35">
        <v>0</v>
      </c>
      <c r="R563" s="35"/>
      <c r="S563" s="35">
        <v>0</v>
      </c>
      <c r="T563" s="35">
        <v>0</v>
      </c>
      <c r="U563" s="35">
        <v>0</v>
      </c>
      <c r="V563" s="35">
        <v>0</v>
      </c>
      <c r="W563" s="94">
        <f>G563</f>
        <v>4021580.94</v>
      </c>
      <c r="X563" s="165">
        <v>2016</v>
      </c>
      <c r="Y563" s="165">
        <v>2016</v>
      </c>
      <c r="Z563" s="178">
        <f t="shared" si="72"/>
        <v>292</v>
      </c>
    </row>
    <row r="564" spans="1:26" s="120" customFormat="1" ht="19.5" customHeight="1">
      <c r="A564" s="185" t="s">
        <v>208</v>
      </c>
      <c r="B564" s="185"/>
      <c r="C564" s="155"/>
      <c r="D564" s="68"/>
      <c r="E564" s="28">
        <v>0</v>
      </c>
      <c r="F564" s="28">
        <v>0</v>
      </c>
      <c r="G564" s="19">
        <v>0</v>
      </c>
      <c r="H564" s="28">
        <v>0</v>
      </c>
      <c r="I564" s="28"/>
      <c r="J564" s="28">
        <v>0</v>
      </c>
      <c r="K564" s="28">
        <v>0</v>
      </c>
      <c r="L564" s="28"/>
      <c r="M564" s="28">
        <v>0</v>
      </c>
      <c r="N564" s="28"/>
      <c r="O564" s="28">
        <v>0</v>
      </c>
      <c r="P564" s="28"/>
      <c r="Q564" s="28">
        <v>0</v>
      </c>
      <c r="R564" s="28"/>
      <c r="S564" s="28">
        <v>0</v>
      </c>
      <c r="T564" s="28">
        <v>0</v>
      </c>
      <c r="U564" s="28">
        <v>0</v>
      </c>
      <c r="V564" s="28">
        <v>0</v>
      </c>
      <c r="W564" s="19">
        <v>0</v>
      </c>
      <c r="X564" s="20" t="s">
        <v>447</v>
      </c>
      <c r="Y564" s="20" t="s">
        <v>447</v>
      </c>
      <c r="Z564" s="178"/>
    </row>
    <row r="565" spans="1:26" s="120" customFormat="1" ht="19.5" customHeight="1">
      <c r="A565" s="185" t="s">
        <v>206</v>
      </c>
      <c r="B565" s="185"/>
      <c r="C565" s="152"/>
      <c r="D565" s="163"/>
      <c r="E565" s="29">
        <f>SUM(E557:E559)</f>
        <v>9657.9</v>
      </c>
      <c r="F565" s="29">
        <f>SUM(F557:F558)</f>
        <v>4691.7999999999993</v>
      </c>
      <c r="G565" s="19">
        <f t="shared" ref="E565:W565" si="73">SUM(G557:G559)</f>
        <v>10752055.379999999</v>
      </c>
      <c r="H565" s="28">
        <f t="shared" si="73"/>
        <v>0</v>
      </c>
      <c r="I565" s="28"/>
      <c r="J565" s="28">
        <f t="shared" si="73"/>
        <v>0</v>
      </c>
      <c r="K565" s="28">
        <f t="shared" si="73"/>
        <v>10752055.379999999</v>
      </c>
      <c r="L565" s="28"/>
      <c r="M565" s="28">
        <f t="shared" si="73"/>
        <v>0</v>
      </c>
      <c r="N565" s="28"/>
      <c r="O565" s="28">
        <f t="shared" si="73"/>
        <v>0</v>
      </c>
      <c r="P565" s="28"/>
      <c r="Q565" s="28">
        <f t="shared" si="73"/>
        <v>0</v>
      </c>
      <c r="R565" s="28"/>
      <c r="S565" s="28">
        <f t="shared" si="73"/>
        <v>0</v>
      </c>
      <c r="T565" s="28">
        <f t="shared" si="73"/>
        <v>0</v>
      </c>
      <c r="U565" s="28">
        <f t="shared" si="73"/>
        <v>0</v>
      </c>
      <c r="V565" s="28">
        <f t="shared" si="73"/>
        <v>1512047.4899999995</v>
      </c>
      <c r="W565" s="19">
        <f t="shared" si="73"/>
        <v>9240007.8900000006</v>
      </c>
      <c r="X565" s="20" t="s">
        <v>447</v>
      </c>
      <c r="Y565" s="20" t="s">
        <v>447</v>
      </c>
      <c r="Z565" s="178"/>
    </row>
    <row r="566" spans="1:26" s="120" customFormat="1" ht="19.5" customHeight="1">
      <c r="A566" s="185" t="s">
        <v>207</v>
      </c>
      <c r="B566" s="185"/>
      <c r="C566" s="152"/>
      <c r="D566" s="163"/>
      <c r="E566" s="29">
        <f>SUM(E560:E563)</f>
        <v>8403.1</v>
      </c>
      <c r="F566" s="29">
        <f>SUM(F560:F563)</f>
        <v>7672.7000000000007</v>
      </c>
      <c r="G566" s="19">
        <f t="shared" ref="G566:W566" si="74">SUM(G560:G563)</f>
        <v>11014726.492000001</v>
      </c>
      <c r="H566" s="28">
        <f t="shared" si="74"/>
        <v>0</v>
      </c>
      <c r="I566" s="28"/>
      <c r="J566" s="28">
        <f t="shared" si="74"/>
        <v>4021580.94</v>
      </c>
      <c r="K566" s="28">
        <f t="shared" si="74"/>
        <v>6062009.8300000001</v>
      </c>
      <c r="L566" s="28"/>
      <c r="M566" s="28">
        <f t="shared" si="74"/>
        <v>0</v>
      </c>
      <c r="N566" s="28"/>
      <c r="O566" s="28">
        <f t="shared" si="74"/>
        <v>931135.72200000007</v>
      </c>
      <c r="P566" s="28"/>
      <c r="Q566" s="28">
        <f t="shared" si="74"/>
        <v>0</v>
      </c>
      <c r="R566" s="28"/>
      <c r="S566" s="28">
        <f t="shared" si="74"/>
        <v>0</v>
      </c>
      <c r="T566" s="28">
        <f t="shared" si="74"/>
        <v>0</v>
      </c>
      <c r="U566" s="28">
        <f t="shared" si="74"/>
        <v>0</v>
      </c>
      <c r="V566" s="28">
        <f t="shared" si="74"/>
        <v>0</v>
      </c>
      <c r="W566" s="19">
        <f t="shared" si="74"/>
        <v>11014726.492000001</v>
      </c>
      <c r="X566" s="20" t="s">
        <v>447</v>
      </c>
      <c r="Y566" s="20" t="s">
        <v>447</v>
      </c>
      <c r="Z566" s="178"/>
    </row>
    <row r="567" spans="1:26" s="120" customFormat="1" ht="17.25" customHeight="1">
      <c r="A567" s="187" t="s">
        <v>111</v>
      </c>
      <c r="B567" s="187"/>
      <c r="C567" s="187"/>
      <c r="D567" s="187"/>
      <c r="E567" s="187"/>
      <c r="F567" s="187"/>
      <c r="G567" s="187"/>
      <c r="H567" s="187"/>
      <c r="I567" s="187"/>
      <c r="J567" s="187"/>
      <c r="K567" s="187"/>
      <c r="L567" s="187"/>
      <c r="M567" s="187"/>
      <c r="N567" s="187"/>
      <c r="O567" s="187"/>
      <c r="P567" s="187"/>
      <c r="Q567" s="187"/>
      <c r="R567" s="187"/>
      <c r="S567" s="187"/>
      <c r="T567" s="187"/>
      <c r="U567" s="187"/>
      <c r="V567" s="187"/>
      <c r="W567" s="187"/>
      <c r="X567" s="165"/>
      <c r="Y567" s="165"/>
      <c r="Z567" s="178"/>
    </row>
    <row r="568" spans="1:26" s="120" customFormat="1" ht="18" customHeight="1">
      <c r="A568" s="165">
        <f>A563+1</f>
        <v>457</v>
      </c>
      <c r="B568" s="24" t="s">
        <v>650</v>
      </c>
      <c r="C568" s="148">
        <v>1987</v>
      </c>
      <c r="D568" s="181"/>
      <c r="E568" s="70">
        <v>1411.2</v>
      </c>
      <c r="F568" s="49">
        <v>879.8</v>
      </c>
      <c r="G568" s="76">
        <f>SUM(H568:S568)</f>
        <v>1392400</v>
      </c>
      <c r="H568" s="35">
        <v>0</v>
      </c>
      <c r="I568" s="35"/>
      <c r="J568" s="35">
        <v>0</v>
      </c>
      <c r="K568" s="35">
        <f>1561548.6-169148.6</f>
        <v>1392400</v>
      </c>
      <c r="L568" s="35"/>
      <c r="M568" s="35">
        <v>0</v>
      </c>
      <c r="N568" s="35"/>
      <c r="O568" s="35"/>
      <c r="P568" s="35"/>
      <c r="Q568" s="35">
        <v>0</v>
      </c>
      <c r="R568" s="35"/>
      <c r="S568" s="35">
        <v>0</v>
      </c>
      <c r="T568" s="35">
        <f>698012-75609.42</f>
        <v>622402.57999999996</v>
      </c>
      <c r="U568" s="35"/>
      <c r="V568" s="35">
        <f>G568-T568</f>
        <v>769997.42</v>
      </c>
      <c r="W568" s="46">
        <v>0</v>
      </c>
      <c r="X568" s="165">
        <v>2014</v>
      </c>
      <c r="Y568" s="165">
        <v>2015</v>
      </c>
      <c r="Z568" s="178"/>
    </row>
    <row r="569" spans="1:26" s="120" customFormat="1" ht="18" customHeight="1">
      <c r="A569" s="165">
        <f>A568+1</f>
        <v>458</v>
      </c>
      <c r="B569" s="24" t="s">
        <v>110</v>
      </c>
      <c r="C569" s="148">
        <v>1966</v>
      </c>
      <c r="D569" s="68"/>
      <c r="E569" s="70">
        <v>422.9</v>
      </c>
      <c r="F569" s="49">
        <v>384.1</v>
      </c>
      <c r="G569" s="76">
        <f>SUM(H569:S569)</f>
        <v>467955</v>
      </c>
      <c r="H569" s="35">
        <v>0</v>
      </c>
      <c r="I569" s="35"/>
      <c r="J569" s="35">
        <v>0</v>
      </c>
      <c r="K569" s="78">
        <v>467955</v>
      </c>
      <c r="L569" s="78"/>
      <c r="M569" s="35">
        <v>0</v>
      </c>
      <c r="N569" s="35"/>
      <c r="O569" s="35">
        <v>0</v>
      </c>
      <c r="P569" s="35"/>
      <c r="Q569" s="35">
        <v>0</v>
      </c>
      <c r="R569" s="35"/>
      <c r="S569" s="35">
        <v>0</v>
      </c>
      <c r="T569" s="35">
        <f>209176-0.3</f>
        <v>209175.7</v>
      </c>
      <c r="U569" s="35">
        <v>0</v>
      </c>
      <c r="V569" s="35">
        <f>G569-T569</f>
        <v>258779.3</v>
      </c>
      <c r="W569" s="46">
        <v>0</v>
      </c>
      <c r="X569" s="165">
        <v>2014</v>
      </c>
      <c r="Y569" s="165">
        <v>2015</v>
      </c>
      <c r="Z569" s="178"/>
    </row>
    <row r="570" spans="1:26" s="120" customFormat="1" ht="18" customHeight="1">
      <c r="A570" s="165">
        <f>A569+1</f>
        <v>459</v>
      </c>
      <c r="B570" s="24" t="s">
        <v>351</v>
      </c>
      <c r="C570" s="148" t="s">
        <v>303</v>
      </c>
      <c r="D570" s="165"/>
      <c r="E570" s="126">
        <v>1543.9</v>
      </c>
      <c r="F570" s="70">
        <v>1229</v>
      </c>
      <c r="G570" s="76">
        <f>SUM(H570:S570)</f>
        <v>1622960</v>
      </c>
      <c r="H570" s="35">
        <v>0</v>
      </c>
      <c r="I570" s="35"/>
      <c r="J570" s="35">
        <v>0</v>
      </c>
      <c r="K570" s="35">
        <f>T570+V570+W570</f>
        <v>1622960</v>
      </c>
      <c r="L570" s="35"/>
      <c r="M570" s="35">
        <v>0</v>
      </c>
      <c r="N570" s="35"/>
      <c r="O570" s="35">
        <v>0</v>
      </c>
      <c r="P570" s="35"/>
      <c r="Q570" s="35">
        <v>0</v>
      </c>
      <c r="R570" s="35"/>
      <c r="S570" s="35">
        <v>0</v>
      </c>
      <c r="T570" s="35">
        <v>650882.11</v>
      </c>
      <c r="U570" s="35">
        <v>0</v>
      </c>
      <c r="V570" s="35">
        <v>809805</v>
      </c>
      <c r="W570" s="46">
        <v>162272.89000000001</v>
      </c>
      <c r="X570" s="165">
        <v>2015</v>
      </c>
      <c r="Y570" s="165">
        <v>2015</v>
      </c>
      <c r="Z570" s="178"/>
    </row>
    <row r="571" spans="1:26" s="120" customFormat="1" ht="18" customHeight="1">
      <c r="A571" s="68">
        <f>A570+1</f>
        <v>460</v>
      </c>
      <c r="B571" s="73" t="s">
        <v>451</v>
      </c>
      <c r="C571" s="155">
        <v>1988</v>
      </c>
      <c r="D571" s="68"/>
      <c r="E571" s="70">
        <v>1937.2</v>
      </c>
      <c r="F571" s="70">
        <v>1803.6</v>
      </c>
      <c r="G571" s="46">
        <f>H571+J571+K571+M571+O571+Q571+S571</f>
        <v>1341030.71</v>
      </c>
      <c r="H571" s="35">
        <v>0</v>
      </c>
      <c r="I571" s="35"/>
      <c r="J571" s="35">
        <v>0</v>
      </c>
      <c r="K571" s="95">
        <v>1341030.71</v>
      </c>
      <c r="L571" s="35">
        <f>K571/F571</f>
        <v>743.53000110889332</v>
      </c>
      <c r="M571" s="35">
        <v>0</v>
      </c>
      <c r="N571" s="35"/>
      <c r="O571" s="35">
        <v>0</v>
      </c>
      <c r="P571" s="35"/>
      <c r="Q571" s="35">
        <v>0</v>
      </c>
      <c r="R571" s="35"/>
      <c r="S571" s="35">
        <v>0</v>
      </c>
      <c r="T571" s="35">
        <v>0</v>
      </c>
      <c r="U571" s="35">
        <v>0</v>
      </c>
      <c r="V571" s="35">
        <v>0</v>
      </c>
      <c r="W571" s="46">
        <f>G571</f>
        <v>1341030.71</v>
      </c>
      <c r="X571" s="165">
        <v>2016</v>
      </c>
      <c r="Y571" s="165">
        <v>2016</v>
      </c>
      <c r="Z571" s="178">
        <f>Z563+1</f>
        <v>293</v>
      </c>
    </row>
    <row r="572" spans="1:26" s="120" customFormat="1" ht="18" customHeight="1">
      <c r="A572" s="68">
        <f>A571+1</f>
        <v>461</v>
      </c>
      <c r="B572" s="73" t="s">
        <v>636</v>
      </c>
      <c r="C572" s="155">
        <v>1967</v>
      </c>
      <c r="D572" s="68"/>
      <c r="E572" s="95">
        <v>1018.3</v>
      </c>
      <c r="F572" s="95">
        <v>608.79999999999995</v>
      </c>
      <c r="G572" s="46">
        <f>H572+J572+K572+M572+O572+Q572+S572</f>
        <v>607734.6</v>
      </c>
      <c r="H572" s="35">
        <v>0</v>
      </c>
      <c r="I572" s="35"/>
      <c r="J572" s="35">
        <v>0</v>
      </c>
      <c r="K572" s="35">
        <f>ROUND(998.25*F572,2)-S572</f>
        <v>571270.52</v>
      </c>
      <c r="L572" s="35">
        <f>K572/F572</f>
        <v>938.35499342969786</v>
      </c>
      <c r="M572" s="35">
        <v>0</v>
      </c>
      <c r="N572" s="35"/>
      <c r="O572" s="35">
        <v>0</v>
      </c>
      <c r="P572" s="35"/>
      <c r="Q572" s="35">
        <v>0</v>
      </c>
      <c r="R572" s="35"/>
      <c r="S572" s="35">
        <v>36464.080000000002</v>
      </c>
      <c r="T572" s="35">
        <v>0</v>
      </c>
      <c r="U572" s="35">
        <v>0</v>
      </c>
      <c r="V572" s="35">
        <v>0</v>
      </c>
      <c r="W572" s="175">
        <f>G572</f>
        <v>607734.6</v>
      </c>
      <c r="X572" s="165">
        <v>2016</v>
      </c>
      <c r="Y572" s="165">
        <v>2017</v>
      </c>
      <c r="Z572" s="179">
        <f>Z571+1</f>
        <v>294</v>
      </c>
    </row>
    <row r="573" spans="1:26" s="120" customFormat="1" ht="19.5" customHeight="1">
      <c r="A573" s="185" t="s">
        <v>208</v>
      </c>
      <c r="B573" s="185"/>
      <c r="C573" s="155"/>
      <c r="D573" s="68"/>
      <c r="E573" s="28">
        <v>0</v>
      </c>
      <c r="F573" s="28">
        <v>0</v>
      </c>
      <c r="G573" s="19">
        <v>0</v>
      </c>
      <c r="H573" s="28">
        <v>0</v>
      </c>
      <c r="I573" s="28"/>
      <c r="J573" s="28">
        <v>0</v>
      </c>
      <c r="K573" s="28">
        <v>0</v>
      </c>
      <c r="L573" s="28"/>
      <c r="M573" s="28">
        <v>0</v>
      </c>
      <c r="N573" s="28"/>
      <c r="O573" s="28">
        <v>0</v>
      </c>
      <c r="P573" s="28"/>
      <c r="Q573" s="28">
        <v>0</v>
      </c>
      <c r="R573" s="28"/>
      <c r="S573" s="28">
        <v>0</v>
      </c>
      <c r="T573" s="28">
        <v>0</v>
      </c>
      <c r="U573" s="28">
        <v>0</v>
      </c>
      <c r="V573" s="28">
        <v>0</v>
      </c>
      <c r="W573" s="19">
        <v>0</v>
      </c>
      <c r="X573" s="20" t="s">
        <v>447</v>
      </c>
      <c r="Y573" s="20" t="s">
        <v>447</v>
      </c>
      <c r="Z573" s="178"/>
    </row>
    <row r="574" spans="1:26" s="120" customFormat="1" ht="19.5" customHeight="1">
      <c r="A574" s="185" t="s">
        <v>206</v>
      </c>
      <c r="B574" s="185"/>
      <c r="C574" s="152"/>
      <c r="D574" s="163"/>
      <c r="E574" s="139">
        <f>SUM(E568:E570)</f>
        <v>3378</v>
      </c>
      <c r="F574" s="139">
        <f>SUM(F568:F570)</f>
        <v>2492.9</v>
      </c>
      <c r="G574" s="19">
        <f t="shared" ref="G574:W574" si="75">SUM(G568:G570)</f>
        <v>3483315</v>
      </c>
      <c r="H574" s="28">
        <f t="shared" si="75"/>
        <v>0</v>
      </c>
      <c r="I574" s="28"/>
      <c r="J574" s="28">
        <f t="shared" si="75"/>
        <v>0</v>
      </c>
      <c r="K574" s="28">
        <f t="shared" si="75"/>
        <v>3483315</v>
      </c>
      <c r="L574" s="28"/>
      <c r="M574" s="28">
        <f t="shared" si="75"/>
        <v>0</v>
      </c>
      <c r="N574" s="28"/>
      <c r="O574" s="28">
        <f t="shared" si="75"/>
        <v>0</v>
      </c>
      <c r="P574" s="28"/>
      <c r="Q574" s="28">
        <f t="shared" si="75"/>
        <v>0</v>
      </c>
      <c r="R574" s="28"/>
      <c r="S574" s="28">
        <f t="shared" si="75"/>
        <v>0</v>
      </c>
      <c r="T574" s="28">
        <f t="shared" si="75"/>
        <v>1482460.3900000001</v>
      </c>
      <c r="U574" s="28">
        <f t="shared" si="75"/>
        <v>0</v>
      </c>
      <c r="V574" s="28">
        <f t="shared" si="75"/>
        <v>1838581.72</v>
      </c>
      <c r="W574" s="19">
        <f t="shared" si="75"/>
        <v>162272.89000000001</v>
      </c>
      <c r="X574" s="20" t="s">
        <v>447</v>
      </c>
      <c r="Y574" s="20" t="s">
        <v>447</v>
      </c>
      <c r="Z574" s="178"/>
    </row>
    <row r="575" spans="1:26" s="120" customFormat="1" ht="19.5" customHeight="1">
      <c r="A575" s="185" t="s">
        <v>207</v>
      </c>
      <c r="B575" s="185"/>
      <c r="C575" s="152"/>
      <c r="D575" s="163"/>
      <c r="E575" s="139">
        <f>SUM(E571:E572)</f>
        <v>2955.5</v>
      </c>
      <c r="F575" s="139">
        <f>SUM(F571:F572)</f>
        <v>2412.3999999999996</v>
      </c>
      <c r="G575" s="140">
        <f>SUM(G571:G572)</f>
        <v>1948765.31</v>
      </c>
      <c r="H575" s="28">
        <f t="shared" ref="H575:W575" si="76">SUM(H571:H572)</f>
        <v>0</v>
      </c>
      <c r="I575" s="28">
        <f t="shared" si="76"/>
        <v>0</v>
      </c>
      <c r="J575" s="28">
        <f t="shared" si="76"/>
        <v>0</v>
      </c>
      <c r="K575" s="140">
        <f t="shared" si="76"/>
        <v>1912301.23</v>
      </c>
      <c r="L575" s="140">
        <f t="shared" si="76"/>
        <v>1681.8849945385912</v>
      </c>
      <c r="M575" s="28">
        <f t="shared" si="76"/>
        <v>0</v>
      </c>
      <c r="N575" s="28">
        <f t="shared" si="76"/>
        <v>0</v>
      </c>
      <c r="O575" s="28">
        <f t="shared" si="76"/>
        <v>0</v>
      </c>
      <c r="P575" s="28">
        <f t="shared" si="76"/>
        <v>0</v>
      </c>
      <c r="Q575" s="28">
        <f t="shared" si="76"/>
        <v>0</v>
      </c>
      <c r="R575" s="28">
        <f t="shared" si="76"/>
        <v>0</v>
      </c>
      <c r="S575" s="28">
        <f t="shared" si="76"/>
        <v>36464.080000000002</v>
      </c>
      <c r="T575" s="28">
        <f t="shared" si="76"/>
        <v>0</v>
      </c>
      <c r="U575" s="28">
        <f t="shared" si="76"/>
        <v>0</v>
      </c>
      <c r="V575" s="28">
        <f t="shared" si="76"/>
        <v>0</v>
      </c>
      <c r="W575" s="140">
        <f t="shared" si="76"/>
        <v>1948765.31</v>
      </c>
      <c r="X575" s="20" t="s">
        <v>447</v>
      </c>
      <c r="Y575" s="20" t="s">
        <v>447</v>
      </c>
      <c r="Z575" s="178"/>
    </row>
    <row r="576" spans="1:26" s="120" customFormat="1" ht="17.25" customHeight="1">
      <c r="A576" s="187" t="s">
        <v>304</v>
      </c>
      <c r="B576" s="187"/>
      <c r="C576" s="187"/>
      <c r="D576" s="187"/>
      <c r="E576" s="187"/>
      <c r="F576" s="187"/>
      <c r="G576" s="187"/>
      <c r="H576" s="187"/>
      <c r="I576" s="187"/>
      <c r="J576" s="187"/>
      <c r="K576" s="187"/>
      <c r="L576" s="187"/>
      <c r="M576" s="187"/>
      <c r="N576" s="187"/>
      <c r="O576" s="187"/>
      <c r="P576" s="187"/>
      <c r="Q576" s="187"/>
      <c r="R576" s="187"/>
      <c r="S576" s="187"/>
      <c r="T576" s="187"/>
      <c r="U576" s="187"/>
      <c r="V576" s="187"/>
      <c r="W576" s="187"/>
      <c r="X576" s="165"/>
      <c r="Y576" s="165"/>
      <c r="Z576" s="178"/>
    </row>
    <row r="577" spans="1:26" s="120" customFormat="1" ht="18" customHeight="1">
      <c r="A577" s="165">
        <f>A572+1</f>
        <v>462</v>
      </c>
      <c r="B577" s="24" t="s">
        <v>305</v>
      </c>
      <c r="C577" s="148" t="s">
        <v>303</v>
      </c>
      <c r="D577" s="165"/>
      <c r="E577" s="49">
        <v>5273.8</v>
      </c>
      <c r="F577" s="49">
        <v>4873</v>
      </c>
      <c r="G577" s="46">
        <f>H577+J577+K577+M577+O577+Q577+S577</f>
        <v>2779023.17</v>
      </c>
      <c r="H577" s="35">
        <f>ROUND(321.45*4873,2)</f>
        <v>1566425.85</v>
      </c>
      <c r="I577" s="35">
        <f>H577/F577</f>
        <v>321.45000000000005</v>
      </c>
      <c r="J577" s="35">
        <v>0</v>
      </c>
      <c r="K577" s="35">
        <v>0</v>
      </c>
      <c r="L577" s="35"/>
      <c r="M577" s="35">
        <f>ROUND(248.84*4873,2)</f>
        <v>1212597.32</v>
      </c>
      <c r="N577" s="35">
        <f>M577/F577</f>
        <v>248.84</v>
      </c>
      <c r="O577" s="35">
        <v>0</v>
      </c>
      <c r="P577" s="35"/>
      <c r="Q577" s="35">
        <v>0</v>
      </c>
      <c r="R577" s="35"/>
      <c r="S577" s="35">
        <v>0</v>
      </c>
      <c r="T577" s="35">
        <v>0</v>
      </c>
      <c r="U577" s="35">
        <v>0</v>
      </c>
      <c r="V577" s="35">
        <v>0</v>
      </c>
      <c r="W577" s="46">
        <f>G577</f>
        <v>2779023.17</v>
      </c>
      <c r="X577" s="165">
        <v>2015</v>
      </c>
      <c r="Y577" s="165">
        <v>2016</v>
      </c>
      <c r="Z577" s="178">
        <f>Z572+1</f>
        <v>295</v>
      </c>
    </row>
    <row r="578" spans="1:26" s="120" customFormat="1" ht="18" customHeight="1">
      <c r="A578" s="165">
        <f>A577+1</f>
        <v>463</v>
      </c>
      <c r="B578" s="24" t="s">
        <v>306</v>
      </c>
      <c r="C578" s="148" t="s">
        <v>303</v>
      </c>
      <c r="D578" s="165"/>
      <c r="E578" s="49">
        <v>4906.8</v>
      </c>
      <c r="F578" s="49">
        <v>4505.2</v>
      </c>
      <c r="G578" s="46">
        <f>H578+J578+K578+M578+O578+Q578+S578</f>
        <v>2569270.5099999998</v>
      </c>
      <c r="H578" s="35">
        <f>ROUND(321.45*4505.2,2)</f>
        <v>1448196.54</v>
      </c>
      <c r="I578" s="35">
        <f>H578/F578</f>
        <v>321.45000000000005</v>
      </c>
      <c r="J578" s="35">
        <v>0</v>
      </c>
      <c r="K578" s="35">
        <v>0</v>
      </c>
      <c r="L578" s="35"/>
      <c r="M578" s="35">
        <f>ROUND(248.84*4505.2,2)</f>
        <v>1121073.97</v>
      </c>
      <c r="N578" s="35">
        <f>M578/F578</f>
        <v>248.84000044393147</v>
      </c>
      <c r="O578" s="35">
        <v>0</v>
      </c>
      <c r="P578" s="35"/>
      <c r="Q578" s="35">
        <v>0</v>
      </c>
      <c r="R578" s="35"/>
      <c r="S578" s="35">
        <v>0</v>
      </c>
      <c r="T578" s="35">
        <v>0</v>
      </c>
      <c r="U578" s="35">
        <v>0</v>
      </c>
      <c r="V578" s="35">
        <v>0</v>
      </c>
      <c r="W578" s="46">
        <f>G578</f>
        <v>2569270.5099999998</v>
      </c>
      <c r="X578" s="165">
        <v>2015</v>
      </c>
      <c r="Y578" s="165">
        <v>2016</v>
      </c>
      <c r="Z578" s="178">
        <f>Z577+1</f>
        <v>296</v>
      </c>
    </row>
    <row r="579" spans="1:26" s="120" customFormat="1" ht="19.5" customHeight="1">
      <c r="A579" s="185" t="s">
        <v>208</v>
      </c>
      <c r="B579" s="185"/>
      <c r="C579" s="155"/>
      <c r="D579" s="165"/>
      <c r="E579" s="29">
        <v>0</v>
      </c>
      <c r="F579" s="29">
        <v>0</v>
      </c>
      <c r="G579" s="19">
        <v>0</v>
      </c>
      <c r="H579" s="28">
        <v>0</v>
      </c>
      <c r="I579" s="28"/>
      <c r="J579" s="28">
        <v>0</v>
      </c>
      <c r="K579" s="28">
        <v>0</v>
      </c>
      <c r="L579" s="28"/>
      <c r="M579" s="28">
        <v>0</v>
      </c>
      <c r="N579" s="28"/>
      <c r="O579" s="28">
        <v>0</v>
      </c>
      <c r="P579" s="28"/>
      <c r="Q579" s="28">
        <v>0</v>
      </c>
      <c r="R579" s="28"/>
      <c r="S579" s="28">
        <v>0</v>
      </c>
      <c r="T579" s="28">
        <v>0</v>
      </c>
      <c r="U579" s="28">
        <v>0</v>
      </c>
      <c r="V579" s="28">
        <v>0</v>
      </c>
      <c r="W579" s="19">
        <v>0</v>
      </c>
      <c r="X579" s="20" t="s">
        <v>447</v>
      </c>
      <c r="Y579" s="20" t="s">
        <v>447</v>
      </c>
      <c r="Z579" s="178"/>
    </row>
    <row r="580" spans="1:26" s="120" customFormat="1" ht="19.5" customHeight="1">
      <c r="A580" s="185" t="s">
        <v>206</v>
      </c>
      <c r="B580" s="185"/>
      <c r="C580" s="155"/>
      <c r="D580" s="165"/>
      <c r="E580" s="29">
        <v>0</v>
      </c>
      <c r="F580" s="29">
        <v>0</v>
      </c>
      <c r="G580" s="19">
        <v>0</v>
      </c>
      <c r="H580" s="28">
        <v>0</v>
      </c>
      <c r="I580" s="28"/>
      <c r="J580" s="28">
        <v>0</v>
      </c>
      <c r="K580" s="28">
        <v>0</v>
      </c>
      <c r="L580" s="28"/>
      <c r="M580" s="28">
        <v>0</v>
      </c>
      <c r="N580" s="28"/>
      <c r="O580" s="28">
        <v>0</v>
      </c>
      <c r="P580" s="28"/>
      <c r="Q580" s="28">
        <v>0</v>
      </c>
      <c r="R580" s="28"/>
      <c r="S580" s="28">
        <v>0</v>
      </c>
      <c r="T580" s="28">
        <v>0</v>
      </c>
      <c r="U580" s="28">
        <v>0</v>
      </c>
      <c r="V580" s="28">
        <v>0</v>
      </c>
      <c r="W580" s="19">
        <v>0</v>
      </c>
      <c r="X580" s="20" t="s">
        <v>447</v>
      </c>
      <c r="Y580" s="20" t="s">
        <v>447</v>
      </c>
      <c r="Z580" s="178"/>
    </row>
    <row r="581" spans="1:26" s="120" customFormat="1" ht="19.5" customHeight="1">
      <c r="A581" s="185" t="s">
        <v>207</v>
      </c>
      <c r="B581" s="185"/>
      <c r="C581" s="152"/>
      <c r="D581" s="163"/>
      <c r="E581" s="29">
        <f>SUM(E577:E578)</f>
        <v>10180.6</v>
      </c>
      <c r="F581" s="29">
        <f>SUM(F577:F578)</f>
        <v>9378.2000000000007</v>
      </c>
      <c r="G581" s="19">
        <f t="shared" ref="G581:W581" si="77">SUM(G577:G578)</f>
        <v>5348293.68</v>
      </c>
      <c r="H581" s="28">
        <f t="shared" si="77"/>
        <v>3014622.39</v>
      </c>
      <c r="I581" s="28"/>
      <c r="J581" s="28">
        <f t="shared" si="77"/>
        <v>0</v>
      </c>
      <c r="K581" s="28">
        <f t="shared" si="77"/>
        <v>0</v>
      </c>
      <c r="L581" s="28"/>
      <c r="M581" s="28">
        <f t="shared" si="77"/>
        <v>2333671.29</v>
      </c>
      <c r="N581" s="28"/>
      <c r="O581" s="28">
        <f t="shared" si="77"/>
        <v>0</v>
      </c>
      <c r="P581" s="28"/>
      <c r="Q581" s="28">
        <f t="shared" si="77"/>
        <v>0</v>
      </c>
      <c r="R581" s="28"/>
      <c r="S581" s="28">
        <f t="shared" si="77"/>
        <v>0</v>
      </c>
      <c r="T581" s="28">
        <f t="shared" si="77"/>
        <v>0</v>
      </c>
      <c r="U581" s="28">
        <f t="shared" si="77"/>
        <v>0</v>
      </c>
      <c r="V581" s="28">
        <f t="shared" si="77"/>
        <v>0</v>
      </c>
      <c r="W581" s="19">
        <f t="shared" si="77"/>
        <v>5348293.68</v>
      </c>
      <c r="X581" s="20" t="s">
        <v>447</v>
      </c>
      <c r="Y581" s="20" t="s">
        <v>447</v>
      </c>
      <c r="Z581" s="178"/>
    </row>
    <row r="582" spans="1:26" s="120" customFormat="1" ht="19.5" customHeight="1">
      <c r="A582" s="185" t="s">
        <v>449</v>
      </c>
      <c r="B582" s="185"/>
      <c r="C582" s="152"/>
      <c r="D582" s="163"/>
      <c r="E582" s="29">
        <f t="shared" ref="E582:W582" si="78">E579+E573+E564+E553+E545+E540+E526+E519</f>
        <v>0</v>
      </c>
      <c r="F582" s="29">
        <f t="shared" si="78"/>
        <v>0</v>
      </c>
      <c r="G582" s="19">
        <f t="shared" si="78"/>
        <v>0</v>
      </c>
      <c r="H582" s="19">
        <f t="shared" si="78"/>
        <v>0</v>
      </c>
      <c r="I582" s="19">
        <f t="shared" si="78"/>
        <v>0</v>
      </c>
      <c r="J582" s="19">
        <f t="shared" si="78"/>
        <v>0</v>
      </c>
      <c r="K582" s="19">
        <f t="shared" si="78"/>
        <v>0</v>
      </c>
      <c r="L582" s="19">
        <f t="shared" si="78"/>
        <v>0</v>
      </c>
      <c r="M582" s="19">
        <f t="shared" si="78"/>
        <v>0</v>
      </c>
      <c r="N582" s="19">
        <f t="shared" si="78"/>
        <v>0</v>
      </c>
      <c r="O582" s="19">
        <f t="shared" si="78"/>
        <v>0</v>
      </c>
      <c r="P582" s="19">
        <f t="shared" si="78"/>
        <v>0</v>
      </c>
      <c r="Q582" s="19">
        <f t="shared" si="78"/>
        <v>0</v>
      </c>
      <c r="R582" s="19">
        <f t="shared" si="78"/>
        <v>0</v>
      </c>
      <c r="S582" s="19">
        <f t="shared" si="78"/>
        <v>0</v>
      </c>
      <c r="T582" s="19">
        <f t="shared" si="78"/>
        <v>0</v>
      </c>
      <c r="U582" s="19">
        <f t="shared" si="78"/>
        <v>0</v>
      </c>
      <c r="V582" s="19">
        <f t="shared" si="78"/>
        <v>0</v>
      </c>
      <c r="W582" s="19">
        <f t="shared" si="78"/>
        <v>0</v>
      </c>
      <c r="X582" s="20" t="s">
        <v>447</v>
      </c>
      <c r="Y582" s="20" t="s">
        <v>447</v>
      </c>
      <c r="Z582" s="178"/>
    </row>
    <row r="583" spans="1:26" s="120" customFormat="1" ht="19.5" customHeight="1">
      <c r="A583" s="185" t="s">
        <v>355</v>
      </c>
      <c r="B583" s="185"/>
      <c r="C583" s="152"/>
      <c r="D583" s="163"/>
      <c r="E583" s="29">
        <f>E580+E574+E565+E554+E546+E541+E527+E520</f>
        <v>14508.9</v>
      </c>
      <c r="F583" s="29">
        <f t="shared" ref="E583:W583" si="79">F580+F574+F565+F554+F546+F541+F527+F520</f>
        <v>8401.2999999999993</v>
      </c>
      <c r="G583" s="19">
        <f t="shared" si="79"/>
        <v>16177574.379999999</v>
      </c>
      <c r="H583" s="19">
        <f t="shared" si="79"/>
        <v>316996</v>
      </c>
      <c r="I583" s="19">
        <f t="shared" si="79"/>
        <v>0</v>
      </c>
      <c r="J583" s="19">
        <f t="shared" si="79"/>
        <v>0</v>
      </c>
      <c r="K583" s="19">
        <f t="shared" si="79"/>
        <v>15860578.379999999</v>
      </c>
      <c r="L583" s="19">
        <f t="shared" si="79"/>
        <v>0</v>
      </c>
      <c r="M583" s="19">
        <f t="shared" si="79"/>
        <v>0</v>
      </c>
      <c r="N583" s="19">
        <f t="shared" si="79"/>
        <v>0</v>
      </c>
      <c r="O583" s="19">
        <f t="shared" si="79"/>
        <v>0</v>
      </c>
      <c r="P583" s="19">
        <f t="shared" si="79"/>
        <v>0</v>
      </c>
      <c r="Q583" s="19">
        <f t="shared" si="79"/>
        <v>0</v>
      </c>
      <c r="R583" s="19">
        <f t="shared" si="79"/>
        <v>0</v>
      </c>
      <c r="S583" s="19">
        <f t="shared" si="79"/>
        <v>0</v>
      </c>
      <c r="T583" s="19">
        <f t="shared" si="79"/>
        <v>1482460.3900000001</v>
      </c>
      <c r="U583" s="19">
        <f t="shared" si="79"/>
        <v>0</v>
      </c>
      <c r="V583" s="19">
        <f t="shared" si="79"/>
        <v>3350629.2099999995</v>
      </c>
      <c r="W583" s="19">
        <f t="shared" si="79"/>
        <v>11344484.780000001</v>
      </c>
      <c r="X583" s="20" t="s">
        <v>447</v>
      </c>
      <c r="Y583" s="20" t="s">
        <v>447</v>
      </c>
      <c r="Z583" s="178"/>
    </row>
    <row r="584" spans="1:26" s="120" customFormat="1" ht="19.5" customHeight="1">
      <c r="A584" s="185" t="s">
        <v>450</v>
      </c>
      <c r="B584" s="185"/>
      <c r="C584" s="152"/>
      <c r="D584" s="163"/>
      <c r="E584" s="29">
        <f>E581+E575+E566+E555+E547+E542+E528+E521</f>
        <v>57701.3</v>
      </c>
      <c r="F584" s="29">
        <f t="shared" ref="E584:W584" si="80">F581+F575+F566+F555+F547+F542+F528+F521</f>
        <v>51670.299999999996</v>
      </c>
      <c r="G584" s="19">
        <f t="shared" si="80"/>
        <v>65387855.412</v>
      </c>
      <c r="H584" s="19">
        <f t="shared" si="80"/>
        <v>18841888.43</v>
      </c>
      <c r="I584" s="19">
        <f t="shared" si="80"/>
        <v>10370.240529323442</v>
      </c>
      <c r="J584" s="19">
        <f t="shared" si="80"/>
        <v>4021580.94</v>
      </c>
      <c r="K584" s="19">
        <f t="shared" si="80"/>
        <v>31196618.010000002</v>
      </c>
      <c r="L584" s="19">
        <f t="shared" si="80"/>
        <v>18891.275446581072</v>
      </c>
      <c r="M584" s="19">
        <f t="shared" si="80"/>
        <v>2450427.02</v>
      </c>
      <c r="N584" s="19">
        <f t="shared" si="80"/>
        <v>248.84000426257458</v>
      </c>
      <c r="O584" s="19">
        <f t="shared" si="80"/>
        <v>8840876.932</v>
      </c>
      <c r="P584" s="19">
        <f t="shared" si="80"/>
        <v>7395.3091164447469</v>
      </c>
      <c r="Q584" s="19">
        <f t="shared" si="80"/>
        <v>0</v>
      </c>
      <c r="R584" s="19">
        <f t="shared" si="80"/>
        <v>0</v>
      </c>
      <c r="S584" s="19">
        <f t="shared" si="80"/>
        <v>36464.080000000002</v>
      </c>
      <c r="T584" s="19">
        <f t="shared" si="80"/>
        <v>0</v>
      </c>
      <c r="U584" s="19">
        <f t="shared" si="80"/>
        <v>0</v>
      </c>
      <c r="V584" s="19">
        <f t="shared" si="80"/>
        <v>793764.99999999988</v>
      </c>
      <c r="W584" s="19">
        <f t="shared" si="80"/>
        <v>64594090.412</v>
      </c>
      <c r="X584" s="20" t="s">
        <v>447</v>
      </c>
      <c r="Y584" s="20" t="s">
        <v>447</v>
      </c>
      <c r="Z584" s="178"/>
    </row>
    <row r="585" spans="1:26" s="120" customFormat="1" ht="17.25" customHeight="1">
      <c r="A585" s="187" t="s">
        <v>307</v>
      </c>
      <c r="B585" s="187"/>
      <c r="C585" s="187"/>
      <c r="D585" s="187"/>
      <c r="E585" s="187"/>
      <c r="F585" s="187"/>
      <c r="G585" s="187"/>
      <c r="H585" s="187"/>
      <c r="I585" s="187"/>
      <c r="J585" s="187"/>
      <c r="K585" s="187"/>
      <c r="L585" s="187"/>
      <c r="M585" s="187"/>
      <c r="N585" s="187"/>
      <c r="O585" s="187"/>
      <c r="P585" s="187"/>
      <c r="Q585" s="187"/>
      <c r="R585" s="187"/>
      <c r="S585" s="187"/>
      <c r="T585" s="187"/>
      <c r="U585" s="187"/>
      <c r="V585" s="187"/>
      <c r="W585" s="187"/>
      <c r="X585" s="165"/>
      <c r="Y585" s="165"/>
      <c r="Z585" s="178"/>
    </row>
    <row r="586" spans="1:26" s="120" customFormat="1" ht="17.25" customHeight="1">
      <c r="A586" s="187" t="s">
        <v>308</v>
      </c>
      <c r="B586" s="187"/>
      <c r="C586" s="187"/>
      <c r="D586" s="187"/>
      <c r="E586" s="187"/>
      <c r="F586" s="187"/>
      <c r="G586" s="187"/>
      <c r="H586" s="187"/>
      <c r="I586" s="187"/>
      <c r="J586" s="187"/>
      <c r="K586" s="187"/>
      <c r="L586" s="187"/>
      <c r="M586" s="187"/>
      <c r="N586" s="187"/>
      <c r="O586" s="187"/>
      <c r="P586" s="187"/>
      <c r="Q586" s="187"/>
      <c r="R586" s="187"/>
      <c r="S586" s="187"/>
      <c r="T586" s="187"/>
      <c r="U586" s="187"/>
      <c r="V586" s="187"/>
      <c r="W586" s="187"/>
      <c r="X586" s="165"/>
      <c r="Y586" s="165"/>
      <c r="Z586" s="178"/>
    </row>
    <row r="587" spans="1:26" s="120" customFormat="1" ht="18" customHeight="1">
      <c r="A587" s="165">
        <f>A578+1</f>
        <v>464</v>
      </c>
      <c r="B587" s="24" t="s">
        <v>309</v>
      </c>
      <c r="C587" s="148" t="s">
        <v>310</v>
      </c>
      <c r="D587" s="165"/>
      <c r="E587" s="49">
        <v>5215.2</v>
      </c>
      <c r="F587" s="49">
        <v>4563.7</v>
      </c>
      <c r="G587" s="46">
        <f>SUM(H587:S587)</f>
        <v>1268750</v>
      </c>
      <c r="H587" s="35">
        <v>1268750</v>
      </c>
      <c r="I587" s="35"/>
      <c r="J587" s="35">
        <v>0</v>
      </c>
      <c r="K587" s="35">
        <v>0</v>
      </c>
      <c r="L587" s="35"/>
      <c r="M587" s="35">
        <v>0</v>
      </c>
      <c r="N587" s="35"/>
      <c r="O587" s="35">
        <v>0</v>
      </c>
      <c r="P587" s="35"/>
      <c r="Q587" s="35">
        <v>0</v>
      </c>
      <c r="R587" s="35"/>
      <c r="S587" s="35">
        <v>0</v>
      </c>
      <c r="T587" s="35">
        <v>0</v>
      </c>
      <c r="U587" s="35">
        <v>0</v>
      </c>
      <c r="V587" s="35">
        <v>0</v>
      </c>
      <c r="W587" s="46">
        <f t="shared" ref="W587:W592" si="81">G587</f>
        <v>1268750</v>
      </c>
      <c r="X587" s="165">
        <v>2015</v>
      </c>
      <c r="Y587" s="165">
        <v>2015</v>
      </c>
      <c r="Z587" s="178"/>
    </row>
    <row r="588" spans="1:26" s="120" customFormat="1" ht="18" customHeight="1">
      <c r="A588" s="165">
        <f>A587+1</f>
        <v>465</v>
      </c>
      <c r="B588" s="24" t="s">
        <v>311</v>
      </c>
      <c r="C588" s="148" t="s">
        <v>217</v>
      </c>
      <c r="D588" s="165"/>
      <c r="E588" s="49">
        <v>1963.4</v>
      </c>
      <c r="F588" s="49">
        <v>1812.3</v>
      </c>
      <c r="G588" s="46">
        <f>SUM(H588:S588)</f>
        <v>542000</v>
      </c>
      <c r="H588" s="35">
        <v>542000</v>
      </c>
      <c r="I588" s="35"/>
      <c r="J588" s="35">
        <v>0</v>
      </c>
      <c r="K588" s="35">
        <v>0</v>
      </c>
      <c r="L588" s="35"/>
      <c r="M588" s="35">
        <v>0</v>
      </c>
      <c r="N588" s="35"/>
      <c r="O588" s="35">
        <v>0</v>
      </c>
      <c r="P588" s="35"/>
      <c r="Q588" s="35">
        <v>0</v>
      </c>
      <c r="R588" s="35"/>
      <c r="S588" s="35">
        <v>0</v>
      </c>
      <c r="T588" s="35">
        <v>0</v>
      </c>
      <c r="U588" s="35">
        <v>0</v>
      </c>
      <c r="V588" s="35">
        <v>0</v>
      </c>
      <c r="W588" s="46">
        <f t="shared" si="81"/>
        <v>542000</v>
      </c>
      <c r="X588" s="165">
        <v>2015</v>
      </c>
      <c r="Y588" s="165">
        <v>2015</v>
      </c>
      <c r="Z588" s="178"/>
    </row>
    <row r="589" spans="1:26" s="120" customFormat="1" ht="18" customHeight="1">
      <c r="A589" s="165">
        <f>A588+1</f>
        <v>466</v>
      </c>
      <c r="B589" s="24" t="s">
        <v>312</v>
      </c>
      <c r="C589" s="148" t="s">
        <v>252</v>
      </c>
      <c r="D589" s="165"/>
      <c r="E589" s="49">
        <v>683.2</v>
      </c>
      <c r="F589" s="49">
        <v>634.9</v>
      </c>
      <c r="G589" s="46">
        <f>SUM(H589:S589)</f>
        <v>359000</v>
      </c>
      <c r="H589" s="35">
        <v>359000</v>
      </c>
      <c r="I589" s="35"/>
      <c r="J589" s="35">
        <v>0</v>
      </c>
      <c r="K589" s="35">
        <v>0</v>
      </c>
      <c r="L589" s="35"/>
      <c r="M589" s="35">
        <v>0</v>
      </c>
      <c r="N589" s="35"/>
      <c r="O589" s="35">
        <v>0</v>
      </c>
      <c r="P589" s="35"/>
      <c r="Q589" s="35">
        <v>0</v>
      </c>
      <c r="R589" s="35"/>
      <c r="S589" s="35">
        <v>0</v>
      </c>
      <c r="T589" s="35">
        <v>0</v>
      </c>
      <c r="U589" s="35">
        <v>0</v>
      </c>
      <c r="V589" s="35">
        <v>0</v>
      </c>
      <c r="W589" s="46">
        <f t="shared" si="81"/>
        <v>359000</v>
      </c>
      <c r="X589" s="165">
        <v>2015</v>
      </c>
      <c r="Y589" s="165">
        <v>2015</v>
      </c>
      <c r="Z589" s="178"/>
    </row>
    <row r="590" spans="1:26" s="120" customFormat="1" ht="18" customHeight="1">
      <c r="A590" s="165">
        <f>A589+1</f>
        <v>467</v>
      </c>
      <c r="B590" s="79" t="s">
        <v>452</v>
      </c>
      <c r="C590" s="149" t="s">
        <v>453</v>
      </c>
      <c r="D590" s="80"/>
      <c r="E590" s="49">
        <v>1607.9</v>
      </c>
      <c r="F590" s="49">
        <v>1419.5</v>
      </c>
      <c r="G590" s="46">
        <f>H590+J590+K590+M590+O590+Q590+S590</f>
        <v>519537</v>
      </c>
      <c r="H590" s="35">
        <v>519537</v>
      </c>
      <c r="I590" s="35">
        <f>H590/F590</f>
        <v>366</v>
      </c>
      <c r="J590" s="35">
        <v>0</v>
      </c>
      <c r="K590" s="35">
        <v>0</v>
      </c>
      <c r="L590" s="35"/>
      <c r="M590" s="35">
        <v>0</v>
      </c>
      <c r="N590" s="35"/>
      <c r="O590" s="35">
        <v>0</v>
      </c>
      <c r="P590" s="35"/>
      <c r="Q590" s="35">
        <v>0</v>
      </c>
      <c r="R590" s="35"/>
      <c r="S590" s="35">
        <v>0</v>
      </c>
      <c r="T590" s="35">
        <v>0</v>
      </c>
      <c r="U590" s="35">
        <v>0</v>
      </c>
      <c r="V590" s="35">
        <v>0</v>
      </c>
      <c r="W590" s="46">
        <f t="shared" si="81"/>
        <v>519537</v>
      </c>
      <c r="X590" s="165">
        <v>2016</v>
      </c>
      <c r="Y590" s="165">
        <v>2016</v>
      </c>
      <c r="Z590" s="178">
        <f>Z578+1</f>
        <v>297</v>
      </c>
    </row>
    <row r="591" spans="1:26" s="120" customFormat="1" ht="18" customHeight="1">
      <c r="A591" s="165">
        <f>A590+1</f>
        <v>468</v>
      </c>
      <c r="B591" s="79" t="s">
        <v>454</v>
      </c>
      <c r="C591" s="149" t="s">
        <v>455</v>
      </c>
      <c r="D591" s="80"/>
      <c r="E591" s="49">
        <v>1029.4000000000001</v>
      </c>
      <c r="F591" s="49">
        <v>945.4</v>
      </c>
      <c r="G591" s="46">
        <f>H591+J591+K591+M591+O591+Q591+S591</f>
        <v>346016.4</v>
      </c>
      <c r="H591" s="35">
        <v>346016.4</v>
      </c>
      <c r="I591" s="35">
        <f>H591/F591</f>
        <v>366.00000000000006</v>
      </c>
      <c r="J591" s="35">
        <v>0</v>
      </c>
      <c r="K591" s="35">
        <v>0</v>
      </c>
      <c r="L591" s="35"/>
      <c r="M591" s="35">
        <v>0</v>
      </c>
      <c r="N591" s="35"/>
      <c r="O591" s="35">
        <v>0</v>
      </c>
      <c r="P591" s="35"/>
      <c r="Q591" s="35">
        <v>0</v>
      </c>
      <c r="R591" s="35"/>
      <c r="S591" s="35">
        <v>0</v>
      </c>
      <c r="T591" s="35">
        <v>0</v>
      </c>
      <c r="U591" s="35">
        <v>0</v>
      </c>
      <c r="V591" s="35">
        <v>0</v>
      </c>
      <c r="W591" s="46">
        <f t="shared" si="81"/>
        <v>346016.4</v>
      </c>
      <c r="X591" s="165">
        <v>2016</v>
      </c>
      <c r="Y591" s="165">
        <v>2016</v>
      </c>
      <c r="Z591" s="178">
        <f>Z590+1</f>
        <v>298</v>
      </c>
    </row>
    <row r="592" spans="1:26" s="120" customFormat="1" ht="18" customHeight="1">
      <c r="A592" s="165">
        <f>A591+1</f>
        <v>469</v>
      </c>
      <c r="B592" s="79" t="s">
        <v>456</v>
      </c>
      <c r="C592" s="149" t="s">
        <v>336</v>
      </c>
      <c r="D592" s="80"/>
      <c r="E592" s="49">
        <v>3795.5</v>
      </c>
      <c r="F592" s="49">
        <v>3356.2</v>
      </c>
      <c r="G592" s="46">
        <f>H592+J592+K592+M592+O592+Q592+S592</f>
        <v>1228369.2</v>
      </c>
      <c r="H592" s="35">
        <v>1228369.2</v>
      </c>
      <c r="I592" s="35">
        <f>H592/F592</f>
        <v>366</v>
      </c>
      <c r="J592" s="35">
        <v>0</v>
      </c>
      <c r="K592" s="35">
        <v>0</v>
      </c>
      <c r="L592" s="35"/>
      <c r="M592" s="35">
        <v>0</v>
      </c>
      <c r="N592" s="35"/>
      <c r="O592" s="35">
        <v>0</v>
      </c>
      <c r="P592" s="35"/>
      <c r="Q592" s="35">
        <v>0</v>
      </c>
      <c r="R592" s="35"/>
      <c r="S592" s="35">
        <v>0</v>
      </c>
      <c r="T592" s="35">
        <v>0</v>
      </c>
      <c r="U592" s="35">
        <v>0</v>
      </c>
      <c r="V592" s="35">
        <v>0</v>
      </c>
      <c r="W592" s="46">
        <f t="shared" si="81"/>
        <v>1228369.2</v>
      </c>
      <c r="X592" s="165">
        <v>2016</v>
      </c>
      <c r="Y592" s="165">
        <v>2016</v>
      </c>
      <c r="Z592" s="178">
        <f>Z591+1</f>
        <v>299</v>
      </c>
    </row>
    <row r="593" spans="1:26" s="120" customFormat="1" ht="19.5" customHeight="1">
      <c r="A593" s="185" t="s">
        <v>208</v>
      </c>
      <c r="B593" s="185"/>
      <c r="C593" s="155"/>
      <c r="D593" s="80"/>
      <c r="E593" s="29">
        <v>0</v>
      </c>
      <c r="F593" s="29">
        <v>0</v>
      </c>
      <c r="G593" s="19">
        <v>0</v>
      </c>
      <c r="H593" s="28">
        <v>0</v>
      </c>
      <c r="I593" s="28"/>
      <c r="J593" s="28">
        <v>0</v>
      </c>
      <c r="K593" s="28">
        <v>0</v>
      </c>
      <c r="L593" s="28"/>
      <c r="M593" s="28">
        <v>0</v>
      </c>
      <c r="N593" s="28"/>
      <c r="O593" s="28">
        <v>0</v>
      </c>
      <c r="P593" s="28"/>
      <c r="Q593" s="28">
        <v>0</v>
      </c>
      <c r="R593" s="28"/>
      <c r="S593" s="28">
        <v>0</v>
      </c>
      <c r="T593" s="28">
        <v>0</v>
      </c>
      <c r="U593" s="28">
        <v>0</v>
      </c>
      <c r="V593" s="28">
        <v>0</v>
      </c>
      <c r="W593" s="19">
        <v>0</v>
      </c>
      <c r="X593" s="20" t="s">
        <v>447</v>
      </c>
      <c r="Y593" s="20" t="s">
        <v>447</v>
      </c>
      <c r="Z593" s="178"/>
    </row>
    <row r="594" spans="1:26" s="120" customFormat="1" ht="19.5" customHeight="1">
      <c r="A594" s="185" t="s">
        <v>206</v>
      </c>
      <c r="B594" s="185"/>
      <c r="C594" s="155"/>
      <c r="D594" s="80"/>
      <c r="E594" s="29">
        <f>SUM(E587:E589)</f>
        <v>7861.8</v>
      </c>
      <c r="F594" s="29">
        <f>SUM(F587:F589)</f>
        <v>7010.9</v>
      </c>
      <c r="G594" s="19">
        <f t="shared" ref="G594:W594" si="82">SUM(G587:G589)</f>
        <v>2169750</v>
      </c>
      <c r="H594" s="28">
        <f t="shared" si="82"/>
        <v>2169750</v>
      </c>
      <c r="I594" s="28"/>
      <c r="J594" s="28">
        <f t="shared" si="82"/>
        <v>0</v>
      </c>
      <c r="K594" s="28">
        <f t="shared" si="82"/>
        <v>0</v>
      </c>
      <c r="L594" s="28"/>
      <c r="M594" s="28">
        <f t="shared" si="82"/>
        <v>0</v>
      </c>
      <c r="N594" s="28"/>
      <c r="O594" s="28">
        <f t="shared" si="82"/>
        <v>0</v>
      </c>
      <c r="P594" s="28"/>
      <c r="Q594" s="28">
        <f t="shared" si="82"/>
        <v>0</v>
      </c>
      <c r="R594" s="28"/>
      <c r="S594" s="28">
        <f t="shared" si="82"/>
        <v>0</v>
      </c>
      <c r="T594" s="28">
        <f t="shared" si="82"/>
        <v>0</v>
      </c>
      <c r="U594" s="28">
        <f t="shared" si="82"/>
        <v>0</v>
      </c>
      <c r="V594" s="28">
        <f t="shared" si="82"/>
        <v>0</v>
      </c>
      <c r="W594" s="19">
        <f t="shared" si="82"/>
        <v>2169750</v>
      </c>
      <c r="X594" s="20" t="s">
        <v>447</v>
      </c>
      <c r="Y594" s="20" t="s">
        <v>447</v>
      </c>
      <c r="Z594" s="178"/>
    </row>
    <row r="595" spans="1:26" s="120" customFormat="1" ht="19.5" customHeight="1">
      <c r="A595" s="185" t="s">
        <v>207</v>
      </c>
      <c r="B595" s="185"/>
      <c r="C595" s="152"/>
      <c r="D595" s="163"/>
      <c r="E595" s="29">
        <f>SUM(E590:E592)</f>
        <v>6432.8</v>
      </c>
      <c r="F595" s="29">
        <f>SUM(F590:F592)</f>
        <v>5721.1</v>
      </c>
      <c r="G595" s="19">
        <f t="shared" ref="G595:W595" si="83">SUM(G590:G592)</f>
        <v>2093922.6</v>
      </c>
      <c r="H595" s="28">
        <f t="shared" si="83"/>
        <v>2093922.6</v>
      </c>
      <c r="I595" s="28"/>
      <c r="J595" s="28">
        <f t="shared" si="83"/>
        <v>0</v>
      </c>
      <c r="K595" s="28">
        <f t="shared" si="83"/>
        <v>0</v>
      </c>
      <c r="L595" s="28"/>
      <c r="M595" s="28">
        <f t="shared" si="83"/>
        <v>0</v>
      </c>
      <c r="N595" s="28"/>
      <c r="O595" s="28">
        <f t="shared" si="83"/>
        <v>0</v>
      </c>
      <c r="P595" s="28"/>
      <c r="Q595" s="28">
        <f t="shared" si="83"/>
        <v>0</v>
      </c>
      <c r="R595" s="28"/>
      <c r="S595" s="28">
        <f t="shared" si="83"/>
        <v>0</v>
      </c>
      <c r="T595" s="28">
        <f t="shared" si="83"/>
        <v>0</v>
      </c>
      <c r="U595" s="28">
        <f t="shared" si="83"/>
        <v>0</v>
      </c>
      <c r="V595" s="28">
        <f t="shared" si="83"/>
        <v>0</v>
      </c>
      <c r="W595" s="19">
        <f t="shared" si="83"/>
        <v>2093922.6</v>
      </c>
      <c r="X595" s="20" t="s">
        <v>447</v>
      </c>
      <c r="Y595" s="20" t="s">
        <v>447</v>
      </c>
      <c r="Z595" s="178"/>
    </row>
    <row r="596" spans="1:26" s="120" customFormat="1" ht="17.25" customHeight="1">
      <c r="A596" s="187" t="s">
        <v>313</v>
      </c>
      <c r="B596" s="187"/>
      <c r="C596" s="187"/>
      <c r="D596" s="187"/>
      <c r="E596" s="187"/>
      <c r="F596" s="187"/>
      <c r="G596" s="187"/>
      <c r="H596" s="187"/>
      <c r="I596" s="187"/>
      <c r="J596" s="187"/>
      <c r="K596" s="187"/>
      <c r="L596" s="187"/>
      <c r="M596" s="187"/>
      <c r="N596" s="187"/>
      <c r="O596" s="187"/>
      <c r="P596" s="187"/>
      <c r="Q596" s="187"/>
      <c r="R596" s="187"/>
      <c r="S596" s="187"/>
      <c r="T596" s="187"/>
      <c r="U596" s="187"/>
      <c r="V596" s="187"/>
      <c r="W596" s="187"/>
      <c r="X596" s="165"/>
      <c r="Y596" s="165"/>
      <c r="Z596" s="178"/>
    </row>
    <row r="597" spans="1:26" s="122" customFormat="1" ht="18" customHeight="1">
      <c r="A597" s="165">
        <f>A592+1</f>
        <v>470</v>
      </c>
      <c r="B597" s="24" t="s">
        <v>637</v>
      </c>
      <c r="C597" s="148" t="s">
        <v>20</v>
      </c>
      <c r="D597" s="165"/>
      <c r="E597" s="49">
        <v>1247.3</v>
      </c>
      <c r="F597" s="49">
        <v>1125</v>
      </c>
      <c r="G597" s="46">
        <f>H597+J597+K597+M597+O597+Q597+S597</f>
        <v>4246301.25</v>
      </c>
      <c r="H597" s="35">
        <f>F597*687.2</f>
        <v>773100</v>
      </c>
      <c r="I597" s="46">
        <f>H597/F597</f>
        <v>687.2</v>
      </c>
      <c r="J597" s="35">
        <v>0</v>
      </c>
      <c r="K597" s="35">
        <f>F597*1724.9</f>
        <v>1940512.5</v>
      </c>
      <c r="L597" s="35">
        <f>K597/F597</f>
        <v>1724.9</v>
      </c>
      <c r="M597" s="35">
        <v>0</v>
      </c>
      <c r="N597" s="35">
        <v>0</v>
      </c>
      <c r="O597" s="35">
        <f>F597*1082</f>
        <v>1217250</v>
      </c>
      <c r="P597" s="35">
        <f>O597/F597</f>
        <v>1082</v>
      </c>
      <c r="Q597" s="35">
        <f>F597*280.39</f>
        <v>315438.75</v>
      </c>
      <c r="R597" s="35">
        <f>Q597/F597</f>
        <v>280.39</v>
      </c>
      <c r="S597" s="35">
        <v>0</v>
      </c>
      <c r="T597" s="35">
        <v>0</v>
      </c>
      <c r="U597" s="35">
        <v>0</v>
      </c>
      <c r="V597" s="35">
        <v>0</v>
      </c>
      <c r="W597" s="46">
        <f>G597</f>
        <v>4246301.25</v>
      </c>
      <c r="X597" s="165">
        <v>2015</v>
      </c>
      <c r="Y597" s="165">
        <v>2017</v>
      </c>
      <c r="Z597" s="176">
        <f>Z592+1</f>
        <v>300</v>
      </c>
    </row>
    <row r="598" spans="1:26" s="122" customFormat="1" ht="18" customHeight="1">
      <c r="A598" s="165">
        <f>A597+1</f>
        <v>471</v>
      </c>
      <c r="B598" s="24" t="s">
        <v>638</v>
      </c>
      <c r="C598" s="148" t="s">
        <v>20</v>
      </c>
      <c r="D598" s="165"/>
      <c r="E598" s="49">
        <v>1598.3</v>
      </c>
      <c r="F598" s="49">
        <v>1471.9</v>
      </c>
      <c r="G598" s="46">
        <f>H598+J598+K598+M598+O598+Q598+S598</f>
        <v>5555671.8310000012</v>
      </c>
      <c r="H598" s="35">
        <f>F598*687.2</f>
        <v>1011489.6800000002</v>
      </c>
      <c r="I598" s="46">
        <f>H598/F598</f>
        <v>687.2</v>
      </c>
      <c r="J598" s="35">
        <v>0</v>
      </c>
      <c r="K598" s="35">
        <f>F598*1724.9</f>
        <v>2538880.3100000005</v>
      </c>
      <c r="L598" s="35">
        <f>K598/F598</f>
        <v>1724.9000000000003</v>
      </c>
      <c r="M598" s="35">
        <v>0</v>
      </c>
      <c r="N598" s="35">
        <v>0</v>
      </c>
      <c r="O598" s="35">
        <f>F598*1082</f>
        <v>1592595.8</v>
      </c>
      <c r="P598" s="35">
        <f>O598/F598</f>
        <v>1082</v>
      </c>
      <c r="Q598" s="35">
        <f>F598*280.39</f>
        <v>412706.04100000003</v>
      </c>
      <c r="R598" s="35">
        <f>Q598/F598</f>
        <v>280.39</v>
      </c>
      <c r="S598" s="35">
        <v>0</v>
      </c>
      <c r="T598" s="35">
        <v>0</v>
      </c>
      <c r="U598" s="35">
        <v>0</v>
      </c>
      <c r="V598" s="35">
        <v>0</v>
      </c>
      <c r="W598" s="46">
        <f>G598</f>
        <v>5555671.8310000012</v>
      </c>
      <c r="X598" s="165">
        <v>2015</v>
      </c>
      <c r="Y598" s="165">
        <v>2017</v>
      </c>
      <c r="Z598" s="176">
        <f>Z597+1</f>
        <v>301</v>
      </c>
    </row>
    <row r="599" spans="1:26" s="122" customFormat="1" ht="18" customHeight="1">
      <c r="A599" s="165">
        <f>A598+1</f>
        <v>472</v>
      </c>
      <c r="B599" s="37" t="s">
        <v>500</v>
      </c>
      <c r="C599" s="157">
        <v>1977</v>
      </c>
      <c r="D599" s="96"/>
      <c r="E599" s="97">
        <v>4469.2</v>
      </c>
      <c r="F599" s="97">
        <v>3871.1</v>
      </c>
      <c r="G599" s="46">
        <f>H599+J599+K599+M599+O599+Q599+S599</f>
        <v>5350554.9400000004</v>
      </c>
      <c r="H599" s="98">
        <v>1329174.0000000005</v>
      </c>
      <c r="I599" s="46">
        <f>H599/F599</f>
        <v>343.35821859419815</v>
      </c>
      <c r="J599" s="98">
        <v>4021380.94</v>
      </c>
      <c r="K599" s="35">
        <v>0</v>
      </c>
      <c r="L599" s="35"/>
      <c r="M599" s="35">
        <v>0</v>
      </c>
      <c r="N599" s="35"/>
      <c r="O599" s="35">
        <v>0</v>
      </c>
      <c r="P599" s="35">
        <f>O599/F599</f>
        <v>0</v>
      </c>
      <c r="Q599" s="35">
        <v>0</v>
      </c>
      <c r="R599" s="35"/>
      <c r="S599" s="35">
        <v>0</v>
      </c>
      <c r="T599" s="35">
        <v>0</v>
      </c>
      <c r="U599" s="35">
        <v>0</v>
      </c>
      <c r="V599" s="35">
        <v>0</v>
      </c>
      <c r="W599" s="46">
        <f>G599</f>
        <v>5350554.9400000004</v>
      </c>
      <c r="X599" s="165">
        <v>2016</v>
      </c>
      <c r="Y599" s="165">
        <v>2016</v>
      </c>
      <c r="Z599" s="176">
        <f>Z598+1</f>
        <v>302</v>
      </c>
    </row>
    <row r="600" spans="1:26" s="120" customFormat="1" ht="19.5" customHeight="1">
      <c r="A600" s="185" t="s">
        <v>208</v>
      </c>
      <c r="B600" s="185"/>
      <c r="C600" s="155"/>
      <c r="D600" s="68"/>
      <c r="E600" s="29">
        <v>0</v>
      </c>
      <c r="F600" s="29">
        <v>0</v>
      </c>
      <c r="G600" s="19">
        <v>0</v>
      </c>
      <c r="H600" s="28">
        <v>0</v>
      </c>
      <c r="I600" s="28"/>
      <c r="J600" s="28">
        <v>0</v>
      </c>
      <c r="K600" s="28">
        <v>0</v>
      </c>
      <c r="L600" s="28"/>
      <c r="M600" s="28">
        <v>0</v>
      </c>
      <c r="N600" s="28"/>
      <c r="O600" s="28">
        <v>0</v>
      </c>
      <c r="P600" s="28"/>
      <c r="Q600" s="28">
        <v>0</v>
      </c>
      <c r="R600" s="28"/>
      <c r="S600" s="28">
        <v>0</v>
      </c>
      <c r="T600" s="28">
        <v>0</v>
      </c>
      <c r="U600" s="28">
        <v>0</v>
      </c>
      <c r="V600" s="28">
        <v>0</v>
      </c>
      <c r="W600" s="19">
        <v>0</v>
      </c>
      <c r="X600" s="20" t="s">
        <v>447</v>
      </c>
      <c r="Y600" s="20" t="s">
        <v>447</v>
      </c>
      <c r="Z600" s="178"/>
    </row>
    <row r="601" spans="1:26" s="120" customFormat="1" ht="19.5" customHeight="1">
      <c r="A601" s="185" t="s">
        <v>206</v>
      </c>
      <c r="B601" s="185"/>
      <c r="C601" s="152"/>
      <c r="D601" s="163"/>
      <c r="E601" s="29">
        <v>0</v>
      </c>
      <c r="F601" s="29">
        <v>0</v>
      </c>
      <c r="G601" s="19">
        <v>0</v>
      </c>
      <c r="H601" s="28">
        <v>0</v>
      </c>
      <c r="I601" s="28"/>
      <c r="J601" s="28">
        <v>0</v>
      </c>
      <c r="K601" s="28">
        <v>0</v>
      </c>
      <c r="L601" s="28"/>
      <c r="M601" s="28">
        <v>0</v>
      </c>
      <c r="N601" s="28"/>
      <c r="O601" s="28">
        <v>0</v>
      </c>
      <c r="P601" s="28"/>
      <c r="Q601" s="28">
        <v>0</v>
      </c>
      <c r="R601" s="28"/>
      <c r="S601" s="28">
        <v>0</v>
      </c>
      <c r="T601" s="28">
        <v>0</v>
      </c>
      <c r="U601" s="28">
        <v>0</v>
      </c>
      <c r="V601" s="28">
        <v>0</v>
      </c>
      <c r="W601" s="19">
        <v>0</v>
      </c>
      <c r="X601" s="20" t="s">
        <v>447</v>
      </c>
      <c r="Y601" s="20" t="s">
        <v>447</v>
      </c>
      <c r="Z601" s="178"/>
    </row>
    <row r="602" spans="1:26" s="120" customFormat="1" ht="19.5" customHeight="1">
      <c r="A602" s="185" t="s">
        <v>207</v>
      </c>
      <c r="B602" s="185"/>
      <c r="C602" s="152"/>
      <c r="D602" s="163"/>
      <c r="E602" s="29">
        <f>SUM(E597:E599)</f>
        <v>7314.7999999999993</v>
      </c>
      <c r="F602" s="29">
        <f t="shared" ref="F602:W602" si="84">SUM(F597:F599)</f>
        <v>6468</v>
      </c>
      <c r="G602" s="19">
        <f t="shared" si="84"/>
        <v>15152528.021000002</v>
      </c>
      <c r="H602" s="19">
        <f t="shared" si="84"/>
        <v>3113763.6800000006</v>
      </c>
      <c r="I602" s="19">
        <f t="shared" si="84"/>
        <v>1717.7582185941983</v>
      </c>
      <c r="J602" s="19">
        <f t="shared" si="84"/>
        <v>4021380.94</v>
      </c>
      <c r="K602" s="19">
        <f t="shared" si="84"/>
        <v>4479392.8100000005</v>
      </c>
      <c r="L602" s="19">
        <f t="shared" si="84"/>
        <v>3449.8</v>
      </c>
      <c r="M602" s="19">
        <f t="shared" si="84"/>
        <v>0</v>
      </c>
      <c r="N602" s="19">
        <f t="shared" si="84"/>
        <v>0</v>
      </c>
      <c r="O602" s="19">
        <f t="shared" si="84"/>
        <v>2809845.8</v>
      </c>
      <c r="P602" s="19">
        <f t="shared" si="84"/>
        <v>2164</v>
      </c>
      <c r="Q602" s="19">
        <f t="shared" si="84"/>
        <v>728144.79099999997</v>
      </c>
      <c r="R602" s="19">
        <f t="shared" si="84"/>
        <v>560.78</v>
      </c>
      <c r="S602" s="19">
        <f t="shared" si="84"/>
        <v>0</v>
      </c>
      <c r="T602" s="19">
        <f t="shared" si="84"/>
        <v>0</v>
      </c>
      <c r="U602" s="19">
        <f t="shared" si="84"/>
        <v>0</v>
      </c>
      <c r="V602" s="19">
        <f t="shared" si="84"/>
        <v>0</v>
      </c>
      <c r="W602" s="19">
        <f t="shared" si="84"/>
        <v>15152528.021000002</v>
      </c>
      <c r="X602" s="20" t="s">
        <v>447</v>
      </c>
      <c r="Y602" s="20" t="s">
        <v>447</v>
      </c>
      <c r="Z602" s="178"/>
    </row>
    <row r="603" spans="1:26" s="120" customFormat="1" ht="19.5" customHeight="1">
      <c r="A603" s="185" t="s">
        <v>457</v>
      </c>
      <c r="B603" s="185"/>
      <c r="C603" s="152"/>
      <c r="D603" s="163"/>
      <c r="E603" s="29">
        <f t="shared" ref="E603:W604" si="85">E600+E593</f>
        <v>0</v>
      </c>
      <c r="F603" s="29">
        <f t="shared" si="85"/>
        <v>0</v>
      </c>
      <c r="G603" s="19">
        <f t="shared" si="85"/>
        <v>0</v>
      </c>
      <c r="H603" s="28">
        <f t="shared" si="85"/>
        <v>0</v>
      </c>
      <c r="I603" s="28">
        <f t="shared" si="85"/>
        <v>0</v>
      </c>
      <c r="J603" s="28">
        <f t="shared" si="85"/>
        <v>0</v>
      </c>
      <c r="K603" s="28">
        <f t="shared" si="85"/>
        <v>0</v>
      </c>
      <c r="L603" s="28">
        <f t="shared" si="85"/>
        <v>0</v>
      </c>
      <c r="M603" s="28">
        <f t="shared" si="85"/>
        <v>0</v>
      </c>
      <c r="N603" s="28">
        <f t="shared" si="85"/>
        <v>0</v>
      </c>
      <c r="O603" s="28">
        <f t="shared" si="85"/>
        <v>0</v>
      </c>
      <c r="P603" s="28">
        <f t="shared" si="85"/>
        <v>0</v>
      </c>
      <c r="Q603" s="28">
        <f t="shared" si="85"/>
        <v>0</v>
      </c>
      <c r="R603" s="28">
        <f t="shared" si="85"/>
        <v>0</v>
      </c>
      <c r="S603" s="28">
        <f t="shared" si="85"/>
        <v>0</v>
      </c>
      <c r="T603" s="28">
        <f t="shared" si="85"/>
        <v>0</v>
      </c>
      <c r="U603" s="28">
        <f t="shared" si="85"/>
        <v>0</v>
      </c>
      <c r="V603" s="28">
        <f t="shared" si="85"/>
        <v>0</v>
      </c>
      <c r="W603" s="19">
        <f t="shared" si="85"/>
        <v>0</v>
      </c>
      <c r="X603" s="20" t="s">
        <v>447</v>
      </c>
      <c r="Y603" s="20" t="s">
        <v>447</v>
      </c>
      <c r="Z603" s="178"/>
    </row>
    <row r="604" spans="1:26" s="120" customFormat="1" ht="19.5" customHeight="1">
      <c r="A604" s="185" t="s">
        <v>354</v>
      </c>
      <c r="B604" s="185"/>
      <c r="C604" s="152"/>
      <c r="D604" s="163"/>
      <c r="E604" s="29">
        <f>E601+E594</f>
        <v>7861.8</v>
      </c>
      <c r="F604" s="29">
        <f t="shared" si="85"/>
        <v>7010.9</v>
      </c>
      <c r="G604" s="19">
        <f t="shared" si="85"/>
        <v>2169750</v>
      </c>
      <c r="H604" s="28">
        <f t="shared" si="85"/>
        <v>2169750</v>
      </c>
      <c r="I604" s="28">
        <f t="shared" si="85"/>
        <v>0</v>
      </c>
      <c r="J604" s="28">
        <f t="shared" si="85"/>
        <v>0</v>
      </c>
      <c r="K604" s="28">
        <f t="shared" si="85"/>
        <v>0</v>
      </c>
      <c r="L604" s="28">
        <f t="shared" si="85"/>
        <v>0</v>
      </c>
      <c r="M604" s="28">
        <f t="shared" si="85"/>
        <v>0</v>
      </c>
      <c r="N604" s="28">
        <f t="shared" si="85"/>
        <v>0</v>
      </c>
      <c r="O604" s="28">
        <f t="shared" si="85"/>
        <v>0</v>
      </c>
      <c r="P604" s="28">
        <f t="shared" si="85"/>
        <v>0</v>
      </c>
      <c r="Q604" s="28">
        <f t="shared" si="85"/>
        <v>0</v>
      </c>
      <c r="R604" s="28">
        <f t="shared" si="85"/>
        <v>0</v>
      </c>
      <c r="S604" s="28">
        <f t="shared" si="85"/>
        <v>0</v>
      </c>
      <c r="T604" s="28">
        <f t="shared" si="85"/>
        <v>0</v>
      </c>
      <c r="U604" s="28">
        <f t="shared" si="85"/>
        <v>0</v>
      </c>
      <c r="V604" s="28">
        <f t="shared" si="85"/>
        <v>0</v>
      </c>
      <c r="W604" s="19">
        <f t="shared" si="85"/>
        <v>2169750</v>
      </c>
      <c r="X604" s="20" t="s">
        <v>447</v>
      </c>
      <c r="Y604" s="20" t="s">
        <v>447</v>
      </c>
      <c r="Z604" s="178"/>
    </row>
    <row r="605" spans="1:26" s="120" customFormat="1" ht="19.5" customHeight="1">
      <c r="A605" s="185" t="s">
        <v>458</v>
      </c>
      <c r="B605" s="185"/>
      <c r="C605" s="152"/>
      <c r="D605" s="163"/>
      <c r="E605" s="29">
        <f>E595+E602</f>
        <v>13747.599999999999</v>
      </c>
      <c r="F605" s="29">
        <f>F595+F602</f>
        <v>12189.1</v>
      </c>
      <c r="G605" s="19">
        <f>G595+G602</f>
        <v>17246450.621000003</v>
      </c>
      <c r="H605" s="19">
        <f t="shared" ref="H605:W605" si="86">H595+H602</f>
        <v>5207686.2800000012</v>
      </c>
      <c r="I605" s="19">
        <f t="shared" si="86"/>
        <v>1717.7582185941983</v>
      </c>
      <c r="J605" s="19">
        <f t="shared" si="86"/>
        <v>4021380.94</v>
      </c>
      <c r="K605" s="19">
        <f t="shared" si="86"/>
        <v>4479392.8100000005</v>
      </c>
      <c r="L605" s="19">
        <f t="shared" si="86"/>
        <v>3449.8</v>
      </c>
      <c r="M605" s="19">
        <f t="shared" si="86"/>
        <v>0</v>
      </c>
      <c r="N605" s="19">
        <f t="shared" si="86"/>
        <v>0</v>
      </c>
      <c r="O605" s="19">
        <f t="shared" si="86"/>
        <v>2809845.8</v>
      </c>
      <c r="P605" s="19">
        <f t="shared" si="86"/>
        <v>2164</v>
      </c>
      <c r="Q605" s="19">
        <f t="shared" si="86"/>
        <v>728144.79099999997</v>
      </c>
      <c r="R605" s="19">
        <f t="shared" si="86"/>
        <v>560.78</v>
      </c>
      <c r="S605" s="19">
        <f t="shared" si="86"/>
        <v>0</v>
      </c>
      <c r="T605" s="19">
        <f t="shared" si="86"/>
        <v>0</v>
      </c>
      <c r="U605" s="19">
        <f t="shared" si="86"/>
        <v>0</v>
      </c>
      <c r="V605" s="19">
        <f t="shared" si="86"/>
        <v>0</v>
      </c>
      <c r="W605" s="19">
        <f t="shared" si="86"/>
        <v>17246450.621000003</v>
      </c>
      <c r="X605" s="20" t="s">
        <v>447</v>
      </c>
      <c r="Y605" s="20" t="s">
        <v>447</v>
      </c>
      <c r="Z605" s="178"/>
    </row>
    <row r="606" spans="1:26" s="120" customFormat="1" ht="17.25" customHeight="1">
      <c r="A606" s="187" t="s">
        <v>314</v>
      </c>
      <c r="B606" s="187"/>
      <c r="C606" s="187"/>
      <c r="D606" s="187"/>
      <c r="E606" s="187"/>
      <c r="F606" s="187"/>
      <c r="G606" s="187"/>
      <c r="H606" s="187"/>
      <c r="I606" s="187"/>
      <c r="J606" s="187"/>
      <c r="K606" s="187"/>
      <c r="L606" s="187"/>
      <c r="M606" s="187"/>
      <c r="N606" s="187"/>
      <c r="O606" s="187"/>
      <c r="P606" s="187"/>
      <c r="Q606" s="187"/>
      <c r="R606" s="187"/>
      <c r="S606" s="187"/>
      <c r="T606" s="187"/>
      <c r="U606" s="187"/>
      <c r="V606" s="187"/>
      <c r="W606" s="187"/>
      <c r="X606" s="165"/>
      <c r="Y606" s="165"/>
      <c r="Z606" s="178"/>
    </row>
    <row r="607" spans="1:26" s="120" customFormat="1" ht="17.25" customHeight="1">
      <c r="A607" s="187" t="s">
        <v>315</v>
      </c>
      <c r="B607" s="187"/>
      <c r="C607" s="187"/>
      <c r="D607" s="187"/>
      <c r="E607" s="187"/>
      <c r="F607" s="187"/>
      <c r="G607" s="187"/>
      <c r="H607" s="187"/>
      <c r="I607" s="187"/>
      <c r="J607" s="187"/>
      <c r="K607" s="187"/>
      <c r="L607" s="187"/>
      <c r="M607" s="187"/>
      <c r="N607" s="187"/>
      <c r="O607" s="187"/>
      <c r="P607" s="187"/>
      <c r="Q607" s="187"/>
      <c r="R607" s="187"/>
      <c r="S607" s="187"/>
      <c r="T607" s="187"/>
      <c r="U607" s="187"/>
      <c r="V607" s="187"/>
      <c r="W607" s="187"/>
      <c r="X607" s="165"/>
      <c r="Y607" s="165"/>
      <c r="Z607" s="178"/>
    </row>
    <row r="608" spans="1:26" s="122" customFormat="1" ht="18" customHeight="1">
      <c r="A608" s="165">
        <f>A599+1</f>
        <v>473</v>
      </c>
      <c r="B608" s="24" t="s">
        <v>316</v>
      </c>
      <c r="C608" s="148" t="s">
        <v>252</v>
      </c>
      <c r="D608" s="165"/>
      <c r="E608" s="49">
        <v>1424.2</v>
      </c>
      <c r="F608" s="49">
        <v>1300.5</v>
      </c>
      <c r="G608" s="46">
        <f>SUM(H608:S608)</f>
        <v>418800</v>
      </c>
      <c r="H608" s="35">
        <v>418800</v>
      </c>
      <c r="I608" s="35"/>
      <c r="J608" s="35">
        <v>0</v>
      </c>
      <c r="K608" s="35">
        <v>0</v>
      </c>
      <c r="L608" s="35"/>
      <c r="M608" s="35">
        <v>0</v>
      </c>
      <c r="N608" s="35"/>
      <c r="O608" s="35">
        <v>0</v>
      </c>
      <c r="P608" s="35"/>
      <c r="Q608" s="35">
        <v>0</v>
      </c>
      <c r="R608" s="35"/>
      <c r="S608" s="35">
        <v>0</v>
      </c>
      <c r="T608" s="35">
        <v>0</v>
      </c>
      <c r="U608" s="35">
        <v>0</v>
      </c>
      <c r="V608" s="35">
        <v>0</v>
      </c>
      <c r="W608" s="46">
        <f t="shared" ref="W608:W617" si="87">G608</f>
        <v>418800</v>
      </c>
      <c r="X608" s="165">
        <v>2015</v>
      </c>
      <c r="Y608" s="165">
        <v>2015</v>
      </c>
      <c r="Z608" s="176"/>
    </row>
    <row r="609" spans="1:26" s="122" customFormat="1" ht="18" customHeight="1">
      <c r="A609" s="165">
        <f>A608+1</f>
        <v>474</v>
      </c>
      <c r="B609" s="24" t="s">
        <v>317</v>
      </c>
      <c r="C609" s="148" t="s">
        <v>252</v>
      </c>
      <c r="D609" s="165"/>
      <c r="E609" s="49">
        <v>1426.6</v>
      </c>
      <c r="F609" s="49">
        <v>1293.5</v>
      </c>
      <c r="G609" s="46">
        <f>SUM(H609:S609)</f>
        <v>418800</v>
      </c>
      <c r="H609" s="35">
        <v>418800</v>
      </c>
      <c r="I609" s="35"/>
      <c r="J609" s="35">
        <v>0</v>
      </c>
      <c r="K609" s="35">
        <v>0</v>
      </c>
      <c r="L609" s="35"/>
      <c r="M609" s="35">
        <v>0</v>
      </c>
      <c r="N609" s="35"/>
      <c r="O609" s="35">
        <v>0</v>
      </c>
      <c r="P609" s="35"/>
      <c r="Q609" s="35">
        <v>0</v>
      </c>
      <c r="R609" s="35"/>
      <c r="S609" s="35">
        <v>0</v>
      </c>
      <c r="T609" s="35">
        <v>0</v>
      </c>
      <c r="U609" s="35">
        <v>0</v>
      </c>
      <c r="V609" s="35">
        <v>0</v>
      </c>
      <c r="W609" s="46">
        <f t="shared" si="87"/>
        <v>418800</v>
      </c>
      <c r="X609" s="165">
        <v>2015</v>
      </c>
      <c r="Y609" s="165">
        <v>2015</v>
      </c>
      <c r="Z609" s="176"/>
    </row>
    <row r="610" spans="1:26" s="122" customFormat="1" ht="18" customHeight="1">
      <c r="A610" s="165">
        <f t="shared" ref="A610:A617" si="88">A609+1</f>
        <v>475</v>
      </c>
      <c r="B610" s="24" t="s">
        <v>318</v>
      </c>
      <c r="C610" s="148" t="s">
        <v>252</v>
      </c>
      <c r="D610" s="165"/>
      <c r="E610" s="49">
        <v>1429.5</v>
      </c>
      <c r="F610" s="49">
        <v>1292.7</v>
      </c>
      <c r="G610" s="46">
        <f>SUM(H610:S610)</f>
        <v>418800</v>
      </c>
      <c r="H610" s="35">
        <v>418800</v>
      </c>
      <c r="I610" s="35"/>
      <c r="J610" s="35">
        <v>0</v>
      </c>
      <c r="K610" s="35">
        <v>0</v>
      </c>
      <c r="L610" s="35"/>
      <c r="M610" s="35">
        <v>0</v>
      </c>
      <c r="N610" s="35"/>
      <c r="O610" s="35">
        <v>0</v>
      </c>
      <c r="P610" s="35"/>
      <c r="Q610" s="35">
        <v>0</v>
      </c>
      <c r="R610" s="35"/>
      <c r="S610" s="35">
        <v>0</v>
      </c>
      <c r="T610" s="35">
        <v>0</v>
      </c>
      <c r="U610" s="35">
        <v>0</v>
      </c>
      <c r="V610" s="35">
        <v>0</v>
      </c>
      <c r="W610" s="46">
        <f t="shared" si="87"/>
        <v>418800</v>
      </c>
      <c r="X610" s="165">
        <v>2015</v>
      </c>
      <c r="Y610" s="165">
        <v>2015</v>
      </c>
      <c r="Z610" s="176"/>
    </row>
    <row r="611" spans="1:26" s="122" customFormat="1" ht="18" customHeight="1">
      <c r="A611" s="165">
        <f t="shared" si="88"/>
        <v>476</v>
      </c>
      <c r="B611" s="24" t="s">
        <v>319</v>
      </c>
      <c r="C611" s="148" t="s">
        <v>20</v>
      </c>
      <c r="D611" s="165"/>
      <c r="E611" s="49">
        <v>423</v>
      </c>
      <c r="F611" s="49">
        <v>383.7</v>
      </c>
      <c r="G611" s="46">
        <f>H611+J611+K611+M611+O611+Q611+S611</f>
        <v>2498868.2799999998</v>
      </c>
      <c r="H611" s="35">
        <f>ROUND((652.48+687.2)*383.7,2)-37143.23</f>
        <v>476891.99</v>
      </c>
      <c r="I611" s="35">
        <f>H611/F611</f>
        <v>1242.8772217878552</v>
      </c>
      <c r="J611" s="35">
        <v>0</v>
      </c>
      <c r="K611" s="35">
        <f>F611*3980.76-110368.36</f>
        <v>1417049.2519999999</v>
      </c>
      <c r="L611" s="35">
        <f>K611/F611</f>
        <v>3693.1176752671354</v>
      </c>
      <c r="M611" s="35">
        <v>0</v>
      </c>
      <c r="N611" s="35"/>
      <c r="O611" s="35">
        <f>F611*1272.94-35292.83</f>
        <v>453134.24799999996</v>
      </c>
      <c r="P611" s="35">
        <f>O611/F611</f>
        <v>1180.9597289549126</v>
      </c>
      <c r="Q611" s="35">
        <v>0</v>
      </c>
      <c r="R611" s="35"/>
      <c r="S611" s="35">
        <v>151792.79</v>
      </c>
      <c r="T611" s="35">
        <v>0</v>
      </c>
      <c r="U611" s="35">
        <v>0</v>
      </c>
      <c r="V611" s="35">
        <v>0</v>
      </c>
      <c r="W611" s="46">
        <f>G611</f>
        <v>2498868.2799999998</v>
      </c>
      <c r="X611" s="165">
        <v>2015</v>
      </c>
      <c r="Y611" s="165">
        <v>2017</v>
      </c>
      <c r="Z611" s="176">
        <f>Z599+1</f>
        <v>303</v>
      </c>
    </row>
    <row r="612" spans="1:26" s="122" customFormat="1" ht="18" customHeight="1">
      <c r="A612" s="165">
        <f t="shared" si="88"/>
        <v>477</v>
      </c>
      <c r="B612" s="24" t="s">
        <v>639</v>
      </c>
      <c r="C612" s="148" t="s">
        <v>19</v>
      </c>
      <c r="D612" s="165"/>
      <c r="E612" s="49">
        <v>1720.1</v>
      </c>
      <c r="F612" s="49">
        <v>1155.3</v>
      </c>
      <c r="G612" s="46">
        <f>H612+J612+K612+M612+O612+Q612+S612</f>
        <v>2786699.13</v>
      </c>
      <c r="H612" s="35">
        <f>ROUND(687.2*1155.3,2)-38094.73</f>
        <v>755827.43</v>
      </c>
      <c r="I612" s="35">
        <f>H612/F612</f>
        <v>654.22611442915263</v>
      </c>
      <c r="J612" s="35">
        <v>0</v>
      </c>
      <c r="K612" s="35">
        <f>F612*1724.9-95619.33</f>
        <v>1897157.64</v>
      </c>
      <c r="L612" s="35">
        <f>K612/F612</f>
        <v>1642.1341989093742</v>
      </c>
      <c r="M612" s="35">
        <v>0</v>
      </c>
      <c r="N612" s="35"/>
      <c r="O612" s="35">
        <v>0</v>
      </c>
      <c r="P612" s="35"/>
      <c r="Q612" s="35">
        <v>0</v>
      </c>
      <c r="R612" s="35"/>
      <c r="S612" s="35">
        <v>133714.06</v>
      </c>
      <c r="T612" s="35">
        <v>0</v>
      </c>
      <c r="U612" s="35">
        <v>0</v>
      </c>
      <c r="V612" s="35">
        <v>0</v>
      </c>
      <c r="W612" s="46">
        <f>G612</f>
        <v>2786699.13</v>
      </c>
      <c r="X612" s="165">
        <v>2015</v>
      </c>
      <c r="Y612" s="165">
        <v>2017</v>
      </c>
      <c r="Z612" s="176">
        <f>Z611+1</f>
        <v>304</v>
      </c>
    </row>
    <row r="613" spans="1:26" s="122" customFormat="1" ht="18" customHeight="1">
      <c r="A613" s="165">
        <f t="shared" si="88"/>
        <v>478</v>
      </c>
      <c r="B613" s="24" t="s">
        <v>320</v>
      </c>
      <c r="C613" s="148" t="s">
        <v>262</v>
      </c>
      <c r="D613" s="165"/>
      <c r="E613" s="49">
        <v>1375.6</v>
      </c>
      <c r="F613" s="49">
        <v>1119.2</v>
      </c>
      <c r="G613" s="46">
        <f>H613+J613+K613+M613+O613+Q613+S613</f>
        <v>1141525.43</v>
      </c>
      <c r="H613" s="35">
        <v>1141525.43</v>
      </c>
      <c r="I613" s="35">
        <f>H613/F613</f>
        <v>1019.9476679771265</v>
      </c>
      <c r="J613" s="35">
        <v>0</v>
      </c>
      <c r="K613" s="35">
        <v>0</v>
      </c>
      <c r="L613" s="35"/>
      <c r="M613" s="35">
        <v>0</v>
      </c>
      <c r="N613" s="35"/>
      <c r="O613" s="35">
        <v>0</v>
      </c>
      <c r="P613" s="35"/>
      <c r="Q613" s="35">
        <v>0</v>
      </c>
      <c r="R613" s="35"/>
      <c r="S613" s="35">
        <v>0</v>
      </c>
      <c r="T613" s="35">
        <v>0</v>
      </c>
      <c r="U613" s="35">
        <v>0</v>
      </c>
      <c r="V613" s="35">
        <v>0</v>
      </c>
      <c r="W613" s="46">
        <f>G613</f>
        <v>1141525.43</v>
      </c>
      <c r="X613" s="165">
        <v>2015</v>
      </c>
      <c r="Y613" s="165">
        <v>2016</v>
      </c>
      <c r="Z613" s="176">
        <f t="shared" ref="Z613:Z617" si="89">Z612+1</f>
        <v>305</v>
      </c>
    </row>
    <row r="614" spans="1:26" s="122" customFormat="1" ht="18" customHeight="1">
      <c r="A614" s="165">
        <f t="shared" si="88"/>
        <v>479</v>
      </c>
      <c r="B614" s="24" t="s">
        <v>321</v>
      </c>
      <c r="C614" s="148" t="s">
        <v>303</v>
      </c>
      <c r="D614" s="165"/>
      <c r="E614" s="49">
        <v>4524.1000000000004</v>
      </c>
      <c r="F614" s="49">
        <v>4070.5</v>
      </c>
      <c r="G614" s="46">
        <f>H614+J614+K614+M614+O614+Q614+S614</f>
        <v>2818655</v>
      </c>
      <c r="H614" s="35">
        <v>2757734.05</v>
      </c>
      <c r="I614" s="35">
        <f>H614/F614</f>
        <v>677.49270359906643</v>
      </c>
      <c r="J614" s="35">
        <v>0</v>
      </c>
      <c r="K614" s="35">
        <v>0</v>
      </c>
      <c r="L614" s="35"/>
      <c r="M614" s="35">
        <v>60920.95</v>
      </c>
      <c r="N614" s="35">
        <f>M614/F614</f>
        <v>14.966453752610244</v>
      </c>
      <c r="O614" s="35">
        <v>0</v>
      </c>
      <c r="P614" s="35"/>
      <c r="Q614" s="35">
        <v>0</v>
      </c>
      <c r="R614" s="35"/>
      <c r="S614" s="35">
        <v>0</v>
      </c>
      <c r="T614" s="35">
        <v>0</v>
      </c>
      <c r="U614" s="35">
        <v>0</v>
      </c>
      <c r="V614" s="35">
        <v>0</v>
      </c>
      <c r="W614" s="46">
        <f>G614</f>
        <v>2818655</v>
      </c>
      <c r="X614" s="165">
        <v>2015</v>
      </c>
      <c r="Y614" s="165">
        <v>2016</v>
      </c>
      <c r="Z614" s="176">
        <f t="shared" si="89"/>
        <v>306</v>
      </c>
    </row>
    <row r="615" spans="1:26" s="122" customFormat="1" ht="18" customHeight="1">
      <c r="A615" s="165">
        <f t="shared" si="88"/>
        <v>480</v>
      </c>
      <c r="B615" s="24" t="s">
        <v>475</v>
      </c>
      <c r="C615" s="148">
        <v>1983</v>
      </c>
      <c r="D615" s="165"/>
      <c r="E615" s="49">
        <v>17662.8</v>
      </c>
      <c r="F615" s="49">
        <v>14158.5</v>
      </c>
      <c r="G615" s="46">
        <f>H615+J615+K615+M615+O615+Q615+S615</f>
        <v>6998063.7000000002</v>
      </c>
      <c r="H615" s="35">
        <v>0</v>
      </c>
      <c r="I615" s="35"/>
      <c r="J615" s="46">
        <v>6998063.7000000002</v>
      </c>
      <c r="K615" s="35">
        <v>0</v>
      </c>
      <c r="L615" s="35"/>
      <c r="M615" s="35">
        <v>0</v>
      </c>
      <c r="N615" s="35"/>
      <c r="O615" s="35">
        <v>0</v>
      </c>
      <c r="P615" s="35"/>
      <c r="Q615" s="35">
        <v>0</v>
      </c>
      <c r="R615" s="35"/>
      <c r="S615" s="35">
        <v>0</v>
      </c>
      <c r="T615" s="35">
        <v>0</v>
      </c>
      <c r="U615" s="35">
        <v>0</v>
      </c>
      <c r="V615" s="35">
        <v>0</v>
      </c>
      <c r="W615" s="46">
        <f>G615</f>
        <v>6998063.7000000002</v>
      </c>
      <c r="X615" s="165">
        <v>2016</v>
      </c>
      <c r="Y615" s="165">
        <v>2016</v>
      </c>
      <c r="Z615" s="176">
        <f t="shared" si="89"/>
        <v>307</v>
      </c>
    </row>
    <row r="616" spans="1:26" s="122" customFormat="1" ht="18" customHeight="1">
      <c r="A616" s="165">
        <f t="shared" si="88"/>
        <v>481</v>
      </c>
      <c r="B616" s="24" t="s">
        <v>322</v>
      </c>
      <c r="C616" s="148" t="s">
        <v>323</v>
      </c>
      <c r="D616" s="165"/>
      <c r="E616" s="49">
        <v>4244.5</v>
      </c>
      <c r="F616" s="49">
        <v>3414.2</v>
      </c>
      <c r="G616" s="46">
        <f>H616+J616+K616+M616+O616+Q616+S616</f>
        <v>4511110.66</v>
      </c>
      <c r="H616" s="35">
        <v>4511110.66</v>
      </c>
      <c r="I616" s="35">
        <f>H616/F616</f>
        <v>1321.2789701833519</v>
      </c>
      <c r="J616" s="35">
        <v>0</v>
      </c>
      <c r="K616" s="35">
        <v>0</v>
      </c>
      <c r="L616" s="35"/>
      <c r="M616" s="35">
        <v>0</v>
      </c>
      <c r="N616" s="35"/>
      <c r="O616" s="35">
        <v>0</v>
      </c>
      <c r="P616" s="35"/>
      <c r="Q616" s="35">
        <v>0</v>
      </c>
      <c r="R616" s="35"/>
      <c r="S616" s="35">
        <v>0</v>
      </c>
      <c r="T616" s="35">
        <v>0</v>
      </c>
      <c r="U616" s="35">
        <v>0</v>
      </c>
      <c r="V616" s="35">
        <v>0</v>
      </c>
      <c r="W616" s="46">
        <f>G616</f>
        <v>4511110.66</v>
      </c>
      <c r="X616" s="165">
        <v>2015</v>
      </c>
      <c r="Y616" s="165">
        <v>2016</v>
      </c>
      <c r="Z616" s="176">
        <f t="shared" si="89"/>
        <v>308</v>
      </c>
    </row>
    <row r="617" spans="1:26" s="122" customFormat="1" ht="18" customHeight="1">
      <c r="A617" s="165">
        <f t="shared" si="88"/>
        <v>482</v>
      </c>
      <c r="B617" s="24" t="s">
        <v>505</v>
      </c>
      <c r="C617" s="148">
        <v>1988</v>
      </c>
      <c r="D617" s="165"/>
      <c r="E617" s="49">
        <v>4612.3</v>
      </c>
      <c r="F617" s="49">
        <v>3756.7</v>
      </c>
      <c r="G617" s="46">
        <f>H617+J617+K617+M617+O617+Q617+S617</f>
        <v>3499031.85</v>
      </c>
      <c r="H617" s="35">
        <v>0</v>
      </c>
      <c r="I617" s="35"/>
      <c r="J617" s="46">
        <v>3499031.85</v>
      </c>
      <c r="K617" s="35">
        <v>0</v>
      </c>
      <c r="L617" s="35"/>
      <c r="M617" s="35">
        <v>0</v>
      </c>
      <c r="N617" s="35"/>
      <c r="O617" s="35">
        <v>0</v>
      </c>
      <c r="P617" s="35"/>
      <c r="Q617" s="35">
        <v>0</v>
      </c>
      <c r="R617" s="35"/>
      <c r="S617" s="35">
        <v>0</v>
      </c>
      <c r="T617" s="35">
        <v>0</v>
      </c>
      <c r="U617" s="35">
        <v>0</v>
      </c>
      <c r="V617" s="35">
        <v>0</v>
      </c>
      <c r="W617" s="46">
        <f>G617</f>
        <v>3499031.85</v>
      </c>
      <c r="X617" s="165">
        <v>2016</v>
      </c>
      <c r="Y617" s="165">
        <v>2016</v>
      </c>
      <c r="Z617" s="176">
        <f t="shared" si="89"/>
        <v>309</v>
      </c>
    </row>
    <row r="618" spans="1:26" s="120" customFormat="1" ht="19.5" customHeight="1">
      <c r="A618" s="185" t="s">
        <v>208</v>
      </c>
      <c r="B618" s="185"/>
      <c r="C618" s="155"/>
      <c r="D618" s="68"/>
      <c r="E618" s="28">
        <v>0</v>
      </c>
      <c r="F618" s="28">
        <v>0</v>
      </c>
      <c r="G618" s="19">
        <v>0</v>
      </c>
      <c r="H618" s="28">
        <v>0</v>
      </c>
      <c r="I618" s="28"/>
      <c r="J618" s="28">
        <v>0</v>
      </c>
      <c r="K618" s="28">
        <v>0</v>
      </c>
      <c r="L618" s="28"/>
      <c r="M618" s="28">
        <v>0</v>
      </c>
      <c r="N618" s="28"/>
      <c r="O618" s="28">
        <v>0</v>
      </c>
      <c r="P618" s="28"/>
      <c r="Q618" s="28">
        <v>0</v>
      </c>
      <c r="R618" s="28"/>
      <c r="S618" s="28">
        <v>0</v>
      </c>
      <c r="T618" s="28">
        <v>0</v>
      </c>
      <c r="U618" s="28">
        <v>0</v>
      </c>
      <c r="V618" s="28">
        <v>0</v>
      </c>
      <c r="W618" s="19">
        <v>0</v>
      </c>
      <c r="X618" s="20" t="s">
        <v>447</v>
      </c>
      <c r="Y618" s="20" t="s">
        <v>447</v>
      </c>
      <c r="Z618" s="178"/>
    </row>
    <row r="619" spans="1:26" s="120" customFormat="1" ht="19.5" customHeight="1">
      <c r="A619" s="185" t="s">
        <v>206</v>
      </c>
      <c r="B619" s="185"/>
      <c r="C619" s="152"/>
      <c r="D619" s="163"/>
      <c r="E619" s="29">
        <f>SUM(E608:E610)</f>
        <v>4280.3</v>
      </c>
      <c r="F619" s="29">
        <f>SUM(F608:F610)</f>
        <v>3886.7</v>
      </c>
      <c r="G619" s="19">
        <f t="shared" ref="G619:W619" si="90">SUM(G608:G610)</f>
        <v>1256400</v>
      </c>
      <c r="H619" s="28">
        <f t="shared" si="90"/>
        <v>1256400</v>
      </c>
      <c r="I619" s="28"/>
      <c r="J619" s="28">
        <f t="shared" si="90"/>
        <v>0</v>
      </c>
      <c r="K619" s="28">
        <f t="shared" si="90"/>
        <v>0</v>
      </c>
      <c r="L619" s="28"/>
      <c r="M619" s="28">
        <f t="shared" si="90"/>
        <v>0</v>
      </c>
      <c r="N619" s="28"/>
      <c r="O619" s="28">
        <f t="shared" si="90"/>
        <v>0</v>
      </c>
      <c r="P619" s="28"/>
      <c r="Q619" s="28">
        <f t="shared" si="90"/>
        <v>0</v>
      </c>
      <c r="R619" s="28"/>
      <c r="S619" s="28">
        <f t="shared" si="90"/>
        <v>0</v>
      </c>
      <c r="T619" s="28">
        <f t="shared" si="90"/>
        <v>0</v>
      </c>
      <c r="U619" s="28">
        <f t="shared" si="90"/>
        <v>0</v>
      </c>
      <c r="V619" s="28">
        <f t="shared" si="90"/>
        <v>0</v>
      </c>
      <c r="W619" s="19">
        <f t="shared" si="90"/>
        <v>1256400</v>
      </c>
      <c r="X619" s="163" t="s">
        <v>447</v>
      </c>
      <c r="Y619" s="163" t="s">
        <v>447</v>
      </c>
      <c r="Z619" s="178"/>
    </row>
    <row r="620" spans="1:26" s="120" customFormat="1" ht="19.5" customHeight="1">
      <c r="A620" s="185" t="s">
        <v>207</v>
      </c>
      <c r="B620" s="185"/>
      <c r="C620" s="152"/>
      <c r="D620" s="163"/>
      <c r="E620" s="29">
        <f>SUM(E611:E617)</f>
        <v>34562.400000000001</v>
      </c>
      <c r="F620" s="29">
        <f t="shared" ref="F620:V620" si="91">SUM(F611:F617)</f>
        <v>28058.100000000002</v>
      </c>
      <c r="G620" s="19">
        <f t="shared" si="91"/>
        <v>24253954.050000001</v>
      </c>
      <c r="H620" s="28">
        <f t="shared" si="91"/>
        <v>9643089.5599999987</v>
      </c>
      <c r="I620" s="28">
        <f t="shared" si="91"/>
        <v>4915.8226779765528</v>
      </c>
      <c r="J620" s="28">
        <f t="shared" si="91"/>
        <v>10497095.550000001</v>
      </c>
      <c r="K620" s="28">
        <f t="shared" si="91"/>
        <v>3314206.892</v>
      </c>
      <c r="L620" s="28">
        <f t="shared" si="91"/>
        <v>5335.2518741765098</v>
      </c>
      <c r="M620" s="28">
        <f t="shared" si="91"/>
        <v>60920.95</v>
      </c>
      <c r="N620" s="28">
        <f t="shared" si="91"/>
        <v>14.966453752610244</v>
      </c>
      <c r="O620" s="28">
        <f t="shared" si="91"/>
        <v>453134.24799999996</v>
      </c>
      <c r="P620" s="28">
        <f t="shared" si="91"/>
        <v>1180.9597289549126</v>
      </c>
      <c r="Q620" s="28">
        <f t="shared" si="91"/>
        <v>0</v>
      </c>
      <c r="R620" s="28">
        <f t="shared" si="91"/>
        <v>0</v>
      </c>
      <c r="S620" s="28">
        <f t="shared" si="91"/>
        <v>285506.84999999998</v>
      </c>
      <c r="T620" s="28">
        <f t="shared" si="91"/>
        <v>0</v>
      </c>
      <c r="U620" s="28">
        <f t="shared" si="91"/>
        <v>0</v>
      </c>
      <c r="V620" s="28">
        <f t="shared" si="91"/>
        <v>0</v>
      </c>
      <c r="W620" s="19">
        <f>SUM(W611:W617)</f>
        <v>24253954.050000001</v>
      </c>
      <c r="X620" s="20" t="s">
        <v>447</v>
      </c>
      <c r="Y620" s="20" t="s">
        <v>447</v>
      </c>
      <c r="Z620" s="178"/>
    </row>
    <row r="621" spans="1:26" s="120" customFormat="1" ht="17.25" customHeight="1">
      <c r="A621" s="187" t="s">
        <v>324</v>
      </c>
      <c r="B621" s="187"/>
      <c r="C621" s="187"/>
      <c r="D621" s="187"/>
      <c r="E621" s="187"/>
      <c r="F621" s="187"/>
      <c r="G621" s="187"/>
      <c r="H621" s="187"/>
      <c r="I621" s="187"/>
      <c r="J621" s="187"/>
      <c r="K621" s="187"/>
      <c r="L621" s="187"/>
      <c r="M621" s="187"/>
      <c r="N621" s="187"/>
      <c r="O621" s="187"/>
      <c r="P621" s="187"/>
      <c r="Q621" s="187"/>
      <c r="R621" s="187"/>
      <c r="S621" s="187"/>
      <c r="T621" s="187"/>
      <c r="U621" s="187"/>
      <c r="V621" s="187"/>
      <c r="W621" s="187"/>
      <c r="X621" s="165"/>
      <c r="Y621" s="165"/>
      <c r="Z621" s="178"/>
    </row>
    <row r="622" spans="1:26" s="122" customFormat="1" ht="18" customHeight="1">
      <c r="A622" s="165">
        <f>A617+1</f>
        <v>483</v>
      </c>
      <c r="B622" s="24" t="s">
        <v>325</v>
      </c>
      <c r="C622" s="148" t="s">
        <v>326</v>
      </c>
      <c r="D622" s="165"/>
      <c r="E622" s="100">
        <v>17124.400000000001</v>
      </c>
      <c r="F622" s="100">
        <v>13741.8</v>
      </c>
      <c r="G622" s="46">
        <f>SUM(H622:S622)</f>
        <v>1482000</v>
      </c>
      <c r="H622" s="35">
        <v>1482000</v>
      </c>
      <c r="I622" s="35"/>
      <c r="J622" s="35">
        <v>0</v>
      </c>
      <c r="K622" s="35">
        <v>0</v>
      </c>
      <c r="L622" s="35"/>
      <c r="M622" s="35">
        <v>0</v>
      </c>
      <c r="N622" s="35"/>
      <c r="O622" s="35">
        <v>0</v>
      </c>
      <c r="P622" s="35"/>
      <c r="Q622" s="35">
        <v>0</v>
      </c>
      <c r="R622" s="35"/>
      <c r="S622" s="35">
        <v>0</v>
      </c>
      <c r="T622" s="35">
        <v>0</v>
      </c>
      <c r="U622" s="35">
        <v>0</v>
      </c>
      <c r="V622" s="35">
        <v>0</v>
      </c>
      <c r="W622" s="46">
        <f>G622</f>
        <v>1482000</v>
      </c>
      <c r="X622" s="165">
        <v>2015</v>
      </c>
      <c r="Y622" s="165">
        <v>2015</v>
      </c>
      <c r="Z622" s="176"/>
    </row>
    <row r="623" spans="1:26" s="122" customFormat="1" ht="18" customHeight="1">
      <c r="A623" s="165">
        <f>A622+1</f>
        <v>484</v>
      </c>
      <c r="B623" s="24" t="s">
        <v>327</v>
      </c>
      <c r="C623" s="148" t="s">
        <v>328</v>
      </c>
      <c r="D623" s="165"/>
      <c r="E623" s="100">
        <v>17264.3</v>
      </c>
      <c r="F623" s="100">
        <v>13765.8</v>
      </c>
      <c r="G623" s="46">
        <f>SUM(H623:S623)</f>
        <v>1491000</v>
      </c>
      <c r="H623" s="35">
        <v>1491000</v>
      </c>
      <c r="I623" s="35"/>
      <c r="J623" s="35">
        <v>0</v>
      </c>
      <c r="K623" s="35">
        <v>0</v>
      </c>
      <c r="L623" s="35"/>
      <c r="M623" s="35">
        <v>0</v>
      </c>
      <c r="N623" s="35"/>
      <c r="O623" s="35">
        <v>0</v>
      </c>
      <c r="P623" s="35"/>
      <c r="Q623" s="35">
        <v>0</v>
      </c>
      <c r="R623" s="35"/>
      <c r="S623" s="35">
        <v>0</v>
      </c>
      <c r="T623" s="35">
        <v>0</v>
      </c>
      <c r="U623" s="35">
        <v>0</v>
      </c>
      <c r="V623" s="35">
        <v>0</v>
      </c>
      <c r="W623" s="46">
        <f>G623</f>
        <v>1491000</v>
      </c>
      <c r="X623" s="165">
        <v>2015</v>
      </c>
      <c r="Y623" s="165">
        <v>2015</v>
      </c>
      <c r="Z623" s="176"/>
    </row>
    <row r="624" spans="1:26" s="122" customFormat="1" ht="18" customHeight="1">
      <c r="A624" s="165">
        <f t="shared" ref="A624:A639" si="92">A623+1</f>
        <v>485</v>
      </c>
      <c r="B624" s="24" t="s">
        <v>333</v>
      </c>
      <c r="C624" s="148" t="s">
        <v>334</v>
      </c>
      <c r="D624" s="165"/>
      <c r="E624" s="99">
        <v>4440.5</v>
      </c>
      <c r="F624" s="99">
        <v>3409.9</v>
      </c>
      <c r="G624" s="46">
        <f>SUM(H624:S624)</f>
        <v>987640</v>
      </c>
      <c r="H624" s="35">
        <v>987640</v>
      </c>
      <c r="I624" s="35"/>
      <c r="J624" s="35">
        <v>0</v>
      </c>
      <c r="K624" s="35">
        <v>0</v>
      </c>
      <c r="L624" s="35"/>
      <c r="M624" s="35">
        <v>0</v>
      </c>
      <c r="N624" s="35"/>
      <c r="O624" s="35">
        <v>0</v>
      </c>
      <c r="P624" s="35"/>
      <c r="Q624" s="35">
        <v>0</v>
      </c>
      <c r="R624" s="35"/>
      <c r="S624" s="35">
        <v>0</v>
      </c>
      <c r="T624" s="35">
        <v>0</v>
      </c>
      <c r="U624" s="35">
        <v>0</v>
      </c>
      <c r="V624" s="35">
        <v>0</v>
      </c>
      <c r="W624" s="46">
        <f>G624</f>
        <v>987640</v>
      </c>
      <c r="X624" s="165">
        <v>2015</v>
      </c>
      <c r="Y624" s="165">
        <v>2015</v>
      </c>
      <c r="Z624" s="176"/>
    </row>
    <row r="625" spans="1:26" s="122" customFormat="1" ht="18" customHeight="1">
      <c r="A625" s="165">
        <f t="shared" si="92"/>
        <v>486</v>
      </c>
      <c r="B625" s="24" t="s">
        <v>335</v>
      </c>
      <c r="C625" s="148" t="s">
        <v>336</v>
      </c>
      <c r="D625" s="165"/>
      <c r="E625" s="49">
        <f>4438.5</f>
        <v>4438.5</v>
      </c>
      <c r="F625" s="99">
        <v>3436.3</v>
      </c>
      <c r="G625" s="46">
        <f>SUM(H625:S625)</f>
        <v>1057240</v>
      </c>
      <c r="H625" s="35">
        <v>1057240</v>
      </c>
      <c r="I625" s="35"/>
      <c r="J625" s="35">
        <v>0</v>
      </c>
      <c r="K625" s="35">
        <v>0</v>
      </c>
      <c r="L625" s="35"/>
      <c r="M625" s="35">
        <v>0</v>
      </c>
      <c r="N625" s="35"/>
      <c r="O625" s="35">
        <v>0</v>
      </c>
      <c r="P625" s="35"/>
      <c r="Q625" s="35">
        <v>0</v>
      </c>
      <c r="R625" s="35"/>
      <c r="S625" s="35">
        <v>0</v>
      </c>
      <c r="T625" s="35">
        <v>0</v>
      </c>
      <c r="U625" s="35">
        <v>0</v>
      </c>
      <c r="V625" s="35">
        <v>0</v>
      </c>
      <c r="W625" s="46">
        <f>G625</f>
        <v>1057240</v>
      </c>
      <c r="X625" s="165">
        <v>2015</v>
      </c>
      <c r="Y625" s="165">
        <v>2015</v>
      </c>
      <c r="Z625" s="176"/>
    </row>
    <row r="626" spans="1:26" s="122" customFormat="1" ht="18" customHeight="1">
      <c r="A626" s="165">
        <f t="shared" si="92"/>
        <v>487</v>
      </c>
      <c r="B626" s="24" t="s">
        <v>331</v>
      </c>
      <c r="C626" s="148" t="s">
        <v>332</v>
      </c>
      <c r="D626" s="165"/>
      <c r="E626" s="99">
        <v>3212.7</v>
      </c>
      <c r="F626" s="99">
        <v>2518.6999999999998</v>
      </c>
      <c r="G626" s="46">
        <f>SUM(H626:S626)</f>
        <v>1688500</v>
      </c>
      <c r="H626" s="35">
        <v>1688500</v>
      </c>
      <c r="I626" s="35"/>
      <c r="J626" s="35">
        <v>0</v>
      </c>
      <c r="K626" s="35">
        <v>0</v>
      </c>
      <c r="L626" s="35"/>
      <c r="M626" s="35">
        <v>0</v>
      </c>
      <c r="N626" s="35"/>
      <c r="O626" s="35">
        <v>0</v>
      </c>
      <c r="P626" s="35"/>
      <c r="Q626" s="35">
        <v>0</v>
      </c>
      <c r="R626" s="35"/>
      <c r="S626" s="35">
        <v>0</v>
      </c>
      <c r="T626" s="35">
        <v>0</v>
      </c>
      <c r="U626" s="35">
        <v>0</v>
      </c>
      <c r="V626" s="35">
        <v>0</v>
      </c>
      <c r="W626" s="46">
        <f>G626</f>
        <v>1688500</v>
      </c>
      <c r="X626" s="165">
        <v>2015</v>
      </c>
      <c r="Y626" s="165">
        <v>2015</v>
      </c>
      <c r="Z626" s="176"/>
    </row>
    <row r="627" spans="1:26" s="122" customFormat="1" ht="18" customHeight="1">
      <c r="A627" s="165">
        <f t="shared" si="92"/>
        <v>488</v>
      </c>
      <c r="B627" s="24" t="s">
        <v>337</v>
      </c>
      <c r="C627" s="148" t="s">
        <v>262</v>
      </c>
      <c r="D627" s="165"/>
      <c r="E627" s="100">
        <v>3421.9</v>
      </c>
      <c r="F627" s="100">
        <v>2591.6</v>
      </c>
      <c r="G627" s="46">
        <f>SUM(H627:S627)</f>
        <v>950000</v>
      </c>
      <c r="H627" s="35">
        <v>950000</v>
      </c>
      <c r="I627" s="35"/>
      <c r="J627" s="35">
        <v>0</v>
      </c>
      <c r="K627" s="35">
        <v>0</v>
      </c>
      <c r="L627" s="35"/>
      <c r="M627" s="35">
        <v>0</v>
      </c>
      <c r="N627" s="35"/>
      <c r="O627" s="35">
        <v>0</v>
      </c>
      <c r="P627" s="35"/>
      <c r="Q627" s="35">
        <v>0</v>
      </c>
      <c r="R627" s="35"/>
      <c r="S627" s="35">
        <v>0</v>
      </c>
      <c r="T627" s="35">
        <v>0</v>
      </c>
      <c r="U627" s="35">
        <v>0</v>
      </c>
      <c r="V627" s="35">
        <v>0</v>
      </c>
      <c r="W627" s="46">
        <f>G627</f>
        <v>950000</v>
      </c>
      <c r="X627" s="165">
        <v>2015</v>
      </c>
      <c r="Y627" s="165">
        <v>2015</v>
      </c>
      <c r="Z627" s="176"/>
    </row>
    <row r="628" spans="1:26" s="122" customFormat="1" ht="18" customHeight="1">
      <c r="A628" s="165">
        <f t="shared" si="92"/>
        <v>489</v>
      </c>
      <c r="B628" s="24" t="s">
        <v>338</v>
      </c>
      <c r="C628" s="148" t="s">
        <v>323</v>
      </c>
      <c r="D628" s="165"/>
      <c r="E628" s="99">
        <v>4163.3</v>
      </c>
      <c r="F628" s="99">
        <v>3215.6</v>
      </c>
      <c r="G628" s="46">
        <f>SUM(H628:S628)</f>
        <v>990110</v>
      </c>
      <c r="H628" s="35">
        <v>990110</v>
      </c>
      <c r="I628" s="35"/>
      <c r="J628" s="35">
        <v>0</v>
      </c>
      <c r="K628" s="35">
        <v>0</v>
      </c>
      <c r="L628" s="35"/>
      <c r="M628" s="35">
        <v>0</v>
      </c>
      <c r="N628" s="35"/>
      <c r="O628" s="35">
        <v>0</v>
      </c>
      <c r="P628" s="35"/>
      <c r="Q628" s="35">
        <v>0</v>
      </c>
      <c r="R628" s="35"/>
      <c r="S628" s="35">
        <v>0</v>
      </c>
      <c r="T628" s="35">
        <v>0</v>
      </c>
      <c r="U628" s="35">
        <v>0</v>
      </c>
      <c r="V628" s="35">
        <v>0</v>
      </c>
      <c r="W628" s="46">
        <f>G628</f>
        <v>990110</v>
      </c>
      <c r="X628" s="165">
        <v>2015</v>
      </c>
      <c r="Y628" s="165">
        <v>2015</v>
      </c>
      <c r="Z628" s="176"/>
    </row>
    <row r="629" spans="1:26" s="122" customFormat="1" ht="18" customHeight="1">
      <c r="A629" s="165">
        <f t="shared" si="92"/>
        <v>490</v>
      </c>
      <c r="B629" s="24" t="s">
        <v>339</v>
      </c>
      <c r="C629" s="148" t="s">
        <v>340</v>
      </c>
      <c r="D629" s="165"/>
      <c r="E629" s="99">
        <v>4141.7</v>
      </c>
      <c r="F629" s="99">
        <v>3190.1</v>
      </c>
      <c r="G629" s="46">
        <f>SUM(H629:S629)</f>
        <v>1000000</v>
      </c>
      <c r="H629" s="35">
        <v>1000000</v>
      </c>
      <c r="I629" s="35"/>
      <c r="J629" s="35">
        <v>0</v>
      </c>
      <c r="K629" s="35">
        <v>0</v>
      </c>
      <c r="L629" s="35"/>
      <c r="M629" s="35">
        <v>0</v>
      </c>
      <c r="N629" s="35"/>
      <c r="O629" s="35">
        <v>0</v>
      </c>
      <c r="P629" s="35"/>
      <c r="Q629" s="35">
        <v>0</v>
      </c>
      <c r="R629" s="35"/>
      <c r="S629" s="35">
        <v>0</v>
      </c>
      <c r="T629" s="35">
        <v>0</v>
      </c>
      <c r="U629" s="35">
        <v>0</v>
      </c>
      <c r="V629" s="35">
        <v>0</v>
      </c>
      <c r="W629" s="46">
        <f>G629</f>
        <v>1000000</v>
      </c>
      <c r="X629" s="165">
        <v>2015</v>
      </c>
      <c r="Y629" s="165">
        <v>2015</v>
      </c>
      <c r="Z629" s="176"/>
    </row>
    <row r="630" spans="1:26" s="122" customFormat="1" ht="18" customHeight="1">
      <c r="A630" s="165">
        <f t="shared" si="92"/>
        <v>491</v>
      </c>
      <c r="B630" s="24" t="s">
        <v>341</v>
      </c>
      <c r="C630" s="148" t="s">
        <v>251</v>
      </c>
      <c r="D630" s="165"/>
      <c r="E630" s="99">
        <v>3270.2</v>
      </c>
      <c r="F630" s="99">
        <v>2045.2</v>
      </c>
      <c r="G630" s="46">
        <f>SUM(H630:S630)</f>
        <v>800000</v>
      </c>
      <c r="H630" s="35">
        <v>800000</v>
      </c>
      <c r="I630" s="35"/>
      <c r="J630" s="35">
        <v>0</v>
      </c>
      <c r="K630" s="35">
        <v>0</v>
      </c>
      <c r="L630" s="35"/>
      <c r="M630" s="35">
        <v>0</v>
      </c>
      <c r="N630" s="35"/>
      <c r="O630" s="35">
        <v>0</v>
      </c>
      <c r="P630" s="35"/>
      <c r="Q630" s="35">
        <v>0</v>
      </c>
      <c r="R630" s="35"/>
      <c r="S630" s="35">
        <v>0</v>
      </c>
      <c r="T630" s="35">
        <v>0</v>
      </c>
      <c r="U630" s="35">
        <v>0</v>
      </c>
      <c r="V630" s="35">
        <v>0</v>
      </c>
      <c r="W630" s="46">
        <f>G630</f>
        <v>800000</v>
      </c>
      <c r="X630" s="165">
        <v>2015</v>
      </c>
      <c r="Y630" s="165">
        <v>2015</v>
      </c>
      <c r="Z630" s="176"/>
    </row>
    <row r="631" spans="1:26" s="122" customFormat="1" ht="18" customHeight="1">
      <c r="A631" s="165">
        <f t="shared" si="92"/>
        <v>492</v>
      </c>
      <c r="B631" s="24" t="s">
        <v>342</v>
      </c>
      <c r="C631" s="148" t="s">
        <v>343</v>
      </c>
      <c r="D631" s="165"/>
      <c r="E631" s="99">
        <v>4467.6000000000004</v>
      </c>
      <c r="F631" s="141">
        <v>3416.8</v>
      </c>
      <c r="G631" s="46">
        <f>SUM(H631:S631)</f>
        <v>1094200</v>
      </c>
      <c r="H631" s="35">
        <v>1094200</v>
      </c>
      <c r="I631" s="35"/>
      <c r="J631" s="35">
        <v>0</v>
      </c>
      <c r="K631" s="35">
        <v>0</v>
      </c>
      <c r="L631" s="35"/>
      <c r="M631" s="35">
        <v>0</v>
      </c>
      <c r="N631" s="35"/>
      <c r="O631" s="35">
        <v>0</v>
      </c>
      <c r="P631" s="35"/>
      <c r="Q631" s="35">
        <v>0</v>
      </c>
      <c r="R631" s="35"/>
      <c r="S631" s="35">
        <v>0</v>
      </c>
      <c r="T631" s="35">
        <v>0</v>
      </c>
      <c r="U631" s="35">
        <v>0</v>
      </c>
      <c r="V631" s="35">
        <v>0</v>
      </c>
      <c r="W631" s="46">
        <f>G631</f>
        <v>1094200</v>
      </c>
      <c r="X631" s="165">
        <v>2015</v>
      </c>
      <c r="Y631" s="165">
        <v>2015</v>
      </c>
      <c r="Z631" s="176"/>
    </row>
    <row r="632" spans="1:26" s="122" customFormat="1" ht="18" customHeight="1">
      <c r="A632" s="165">
        <f t="shared" si="92"/>
        <v>493</v>
      </c>
      <c r="B632" s="24" t="s">
        <v>344</v>
      </c>
      <c r="C632" s="148" t="s">
        <v>345</v>
      </c>
      <c r="D632" s="165"/>
      <c r="E632" s="99">
        <v>4392</v>
      </c>
      <c r="F632" s="99">
        <v>3385</v>
      </c>
      <c r="G632" s="46">
        <f>SUM(H632:S632)</f>
        <v>1075700</v>
      </c>
      <c r="H632" s="35">
        <v>1075700</v>
      </c>
      <c r="I632" s="35"/>
      <c r="J632" s="35">
        <v>0</v>
      </c>
      <c r="K632" s="35">
        <v>0</v>
      </c>
      <c r="L632" s="35"/>
      <c r="M632" s="35">
        <v>0</v>
      </c>
      <c r="N632" s="35"/>
      <c r="O632" s="35">
        <v>0</v>
      </c>
      <c r="P632" s="35"/>
      <c r="Q632" s="35">
        <v>0</v>
      </c>
      <c r="R632" s="35"/>
      <c r="S632" s="35">
        <v>0</v>
      </c>
      <c r="T632" s="35">
        <v>0</v>
      </c>
      <c r="U632" s="35">
        <v>0</v>
      </c>
      <c r="V632" s="35">
        <v>0</v>
      </c>
      <c r="W632" s="46">
        <f>G632</f>
        <v>1075700</v>
      </c>
      <c r="X632" s="165">
        <v>2015</v>
      </c>
      <c r="Y632" s="165">
        <v>2015</v>
      </c>
      <c r="Z632" s="176"/>
    </row>
    <row r="633" spans="1:26" s="122" customFormat="1" ht="18" customHeight="1">
      <c r="A633" s="165">
        <f t="shared" si="92"/>
        <v>494</v>
      </c>
      <c r="B633" s="24" t="s">
        <v>493</v>
      </c>
      <c r="C633" s="148">
        <v>1958</v>
      </c>
      <c r="D633" s="165"/>
      <c r="E633" s="97">
        <f>2580.8+84+242.3</f>
        <v>2907.1000000000004</v>
      </c>
      <c r="F633" s="97">
        <v>2580.8000000000002</v>
      </c>
      <c r="G633" s="46">
        <f>H633+J633+K633+M633+O633+Q633+S633</f>
        <v>1175786.67</v>
      </c>
      <c r="H633" s="35">
        <f>ROUND((181.16+274.43)*F633,2)-S633</f>
        <v>1105239.47</v>
      </c>
      <c r="I633" s="35">
        <f>H633/F633</f>
        <v>428.25459934903904</v>
      </c>
      <c r="J633" s="35">
        <v>0</v>
      </c>
      <c r="K633" s="35">
        <v>0</v>
      </c>
      <c r="L633" s="35"/>
      <c r="M633" s="35">
        <v>0</v>
      </c>
      <c r="N633" s="35"/>
      <c r="O633" s="35">
        <v>0</v>
      </c>
      <c r="P633" s="35">
        <f>O633/F633</f>
        <v>0</v>
      </c>
      <c r="Q633" s="35">
        <v>0</v>
      </c>
      <c r="R633" s="35"/>
      <c r="S633" s="35">
        <v>70547.199999999997</v>
      </c>
      <c r="T633" s="35">
        <v>0</v>
      </c>
      <c r="U633" s="35">
        <v>0</v>
      </c>
      <c r="V633" s="35">
        <v>0</v>
      </c>
      <c r="W633" s="46">
        <f>G633</f>
        <v>1175786.67</v>
      </c>
      <c r="X633" s="165">
        <v>2016</v>
      </c>
      <c r="Y633" s="165">
        <v>2017</v>
      </c>
      <c r="Z633" s="176">
        <f>Z617+1</f>
        <v>310</v>
      </c>
    </row>
    <row r="634" spans="1:26" s="122" customFormat="1" ht="18" customHeight="1">
      <c r="A634" s="165">
        <f t="shared" si="92"/>
        <v>495</v>
      </c>
      <c r="B634" s="43" t="s">
        <v>492</v>
      </c>
      <c r="C634" s="148" t="s">
        <v>20</v>
      </c>
      <c r="D634" s="165"/>
      <c r="E634" s="97">
        <v>3301.5</v>
      </c>
      <c r="F634" s="97">
        <v>2377.6999999999998</v>
      </c>
      <c r="G634" s="46">
        <f>H634+J634+K634+M634+O634+Q634+S634</f>
        <v>1231743.71</v>
      </c>
      <c r="H634" s="35">
        <f>ROUND(518.04*F634,2)</f>
        <v>1231743.71</v>
      </c>
      <c r="I634" s="35">
        <f>H634/F634</f>
        <v>518.04000084114898</v>
      </c>
      <c r="J634" s="35">
        <v>0</v>
      </c>
      <c r="K634" s="35">
        <v>0</v>
      </c>
      <c r="L634" s="35"/>
      <c r="M634" s="35">
        <v>0</v>
      </c>
      <c r="N634" s="35"/>
      <c r="O634" s="35">
        <v>0</v>
      </c>
      <c r="P634" s="35"/>
      <c r="Q634" s="35">
        <v>0</v>
      </c>
      <c r="R634" s="35"/>
      <c r="S634" s="35">
        <v>0</v>
      </c>
      <c r="T634" s="35">
        <v>0</v>
      </c>
      <c r="U634" s="35">
        <v>0</v>
      </c>
      <c r="V634" s="35">
        <v>0</v>
      </c>
      <c r="W634" s="46">
        <f>G634</f>
        <v>1231743.71</v>
      </c>
      <c r="X634" s="165">
        <v>2016</v>
      </c>
      <c r="Y634" s="165">
        <v>2016</v>
      </c>
      <c r="Z634" s="176">
        <f>Z633+1</f>
        <v>311</v>
      </c>
    </row>
    <row r="635" spans="1:26" s="122" customFormat="1" ht="18" customHeight="1">
      <c r="A635" s="165">
        <f t="shared" si="92"/>
        <v>496</v>
      </c>
      <c r="B635" s="24" t="s">
        <v>640</v>
      </c>
      <c r="C635" s="148">
        <v>1952</v>
      </c>
      <c r="D635" s="165"/>
      <c r="E635" s="97">
        <f>3004.4+1179.8+495.8</f>
        <v>4680</v>
      </c>
      <c r="F635" s="97">
        <f>E635-495.8-74.5</f>
        <v>4109.7</v>
      </c>
      <c r="G635" s="46">
        <f>H635+J635+K635+M635+O635+Q635+S635</f>
        <v>5231401.5199999996</v>
      </c>
      <c r="H635" s="35">
        <v>0</v>
      </c>
      <c r="I635" s="35">
        <f>H635/F635</f>
        <v>0</v>
      </c>
      <c r="J635" s="35">
        <v>0</v>
      </c>
      <c r="K635" s="35">
        <v>0</v>
      </c>
      <c r="L635" s="35"/>
      <c r="M635" s="35">
        <v>0</v>
      </c>
      <c r="N635" s="35"/>
      <c r="O635" s="35">
        <f>ROUND(1272.94*F635,2)-S635</f>
        <v>4976070.76</v>
      </c>
      <c r="P635" s="35">
        <f>O635/F635</f>
        <v>1210.8111930311215</v>
      </c>
      <c r="Q635" s="35">
        <v>0</v>
      </c>
      <c r="R635" s="35"/>
      <c r="S635" s="35">
        <v>255330.76</v>
      </c>
      <c r="T635" s="35">
        <v>0</v>
      </c>
      <c r="U635" s="35">
        <v>0</v>
      </c>
      <c r="V635" s="35">
        <v>0</v>
      </c>
      <c r="W635" s="46">
        <f>G635</f>
        <v>5231401.5199999996</v>
      </c>
      <c r="X635" s="165">
        <v>2016</v>
      </c>
      <c r="Y635" s="165">
        <v>2017</v>
      </c>
      <c r="Z635" s="176">
        <f t="shared" ref="Z635:Z639" si="93">Z634+1</f>
        <v>312</v>
      </c>
    </row>
    <row r="636" spans="1:26" s="122" customFormat="1" ht="18" customHeight="1">
      <c r="A636" s="165">
        <f t="shared" si="92"/>
        <v>497</v>
      </c>
      <c r="B636" s="24" t="s">
        <v>641</v>
      </c>
      <c r="C636" s="148">
        <v>1954</v>
      </c>
      <c r="D636" s="165"/>
      <c r="E636" s="97">
        <v>446.5</v>
      </c>
      <c r="F636" s="97">
        <v>410.1</v>
      </c>
      <c r="G636" s="46">
        <f>H636+J636+K636+M636+O636+Q636+S636</f>
        <v>522032.69</v>
      </c>
      <c r="H636" s="35">
        <v>0</v>
      </c>
      <c r="I636" s="35">
        <f>H636/F636</f>
        <v>0</v>
      </c>
      <c r="J636" s="35">
        <v>0</v>
      </c>
      <c r="K636" s="35">
        <v>0</v>
      </c>
      <c r="L636" s="35"/>
      <c r="M636" s="35">
        <v>0</v>
      </c>
      <c r="N636" s="35"/>
      <c r="O636" s="35">
        <f>ROUND(1272.94*F636,2)-S636</f>
        <v>490710.73</v>
      </c>
      <c r="P636" s="35">
        <f>O636/F636</f>
        <v>1196.5635942453059</v>
      </c>
      <c r="Q636" s="35">
        <v>0</v>
      </c>
      <c r="R636" s="35"/>
      <c r="S636" s="35">
        <v>31321.96</v>
      </c>
      <c r="T636" s="35">
        <v>0</v>
      </c>
      <c r="U636" s="35">
        <v>0</v>
      </c>
      <c r="V636" s="35">
        <v>0</v>
      </c>
      <c r="W636" s="46">
        <f>G636</f>
        <v>522032.69</v>
      </c>
      <c r="X636" s="165">
        <v>2016</v>
      </c>
      <c r="Y636" s="165">
        <v>2017</v>
      </c>
      <c r="Z636" s="176">
        <f t="shared" si="93"/>
        <v>313</v>
      </c>
    </row>
    <row r="637" spans="1:26" s="122" customFormat="1" ht="18" customHeight="1">
      <c r="A637" s="165">
        <f t="shared" si="92"/>
        <v>498</v>
      </c>
      <c r="B637" s="43" t="s">
        <v>329</v>
      </c>
      <c r="C637" s="148" t="s">
        <v>330</v>
      </c>
      <c r="D637" s="165"/>
      <c r="E637" s="97">
        <v>423.6</v>
      </c>
      <c r="F637" s="100">
        <v>417.6</v>
      </c>
      <c r="G637" s="46">
        <f>H637+J637+K637+M637+O637+Q637+S637</f>
        <v>216333.5</v>
      </c>
      <c r="H637" s="35">
        <f>ROUND(518.04*F637,2)</f>
        <v>216333.5</v>
      </c>
      <c r="I637" s="35">
        <f>H637/F637</f>
        <v>518.03999042145585</v>
      </c>
      <c r="J637" s="35">
        <v>0</v>
      </c>
      <c r="K637" s="35">
        <v>0</v>
      </c>
      <c r="L637" s="35"/>
      <c r="M637" s="35">
        <v>0</v>
      </c>
      <c r="N637" s="35"/>
      <c r="O637" s="35">
        <v>0</v>
      </c>
      <c r="P637" s="35">
        <f>O637/F637</f>
        <v>0</v>
      </c>
      <c r="Q637" s="35">
        <v>0</v>
      </c>
      <c r="R637" s="35">
        <v>0</v>
      </c>
      <c r="S637" s="35">
        <v>0</v>
      </c>
      <c r="T637" s="35">
        <v>0</v>
      </c>
      <c r="U637" s="35">
        <v>0</v>
      </c>
      <c r="V637" s="35">
        <v>0</v>
      </c>
      <c r="W637" s="46">
        <f>G637</f>
        <v>216333.5</v>
      </c>
      <c r="X637" s="165">
        <v>2015</v>
      </c>
      <c r="Y637" s="165">
        <v>2016</v>
      </c>
      <c r="Z637" s="176">
        <f t="shared" si="93"/>
        <v>314</v>
      </c>
    </row>
    <row r="638" spans="1:26" s="122" customFormat="1" ht="18" customHeight="1">
      <c r="A638" s="165">
        <f t="shared" si="92"/>
        <v>499</v>
      </c>
      <c r="B638" s="43" t="s">
        <v>642</v>
      </c>
      <c r="C638" s="148" t="s">
        <v>340</v>
      </c>
      <c r="D638" s="165"/>
      <c r="E638" s="97">
        <v>3490.1</v>
      </c>
      <c r="F638" s="97">
        <v>3187.7</v>
      </c>
      <c r="G638" s="46">
        <f>H638+J638+K638+M638+O638+Q638+S638</f>
        <v>1651356.1100000003</v>
      </c>
      <c r="H638" s="35">
        <f>ROUND(518.04*F638,2)-S638</f>
        <v>1552274.7400000002</v>
      </c>
      <c r="I638" s="35">
        <f>H638/F638</f>
        <v>486.95759952316729</v>
      </c>
      <c r="J638" s="35">
        <v>0</v>
      </c>
      <c r="K638" s="35">
        <v>0</v>
      </c>
      <c r="L638" s="35"/>
      <c r="M638" s="35">
        <v>0</v>
      </c>
      <c r="N638" s="35"/>
      <c r="O638" s="35">
        <v>0</v>
      </c>
      <c r="P638" s="35"/>
      <c r="Q638" s="35">
        <v>0</v>
      </c>
      <c r="R638" s="35"/>
      <c r="S638" s="35">
        <v>99081.37</v>
      </c>
      <c r="T638" s="35">
        <v>0</v>
      </c>
      <c r="U638" s="35">
        <v>0</v>
      </c>
      <c r="V638" s="35">
        <v>0</v>
      </c>
      <c r="W638" s="46">
        <f>G638</f>
        <v>1651356.1100000003</v>
      </c>
      <c r="X638" s="165">
        <v>2016</v>
      </c>
      <c r="Y638" s="165">
        <v>2017</v>
      </c>
      <c r="Z638" s="176">
        <f t="shared" si="93"/>
        <v>315</v>
      </c>
    </row>
    <row r="639" spans="1:26" s="122" customFormat="1" ht="18" customHeight="1">
      <c r="A639" s="165">
        <f t="shared" si="92"/>
        <v>500</v>
      </c>
      <c r="B639" s="24" t="s">
        <v>460</v>
      </c>
      <c r="C639" s="148">
        <v>1966</v>
      </c>
      <c r="D639" s="165"/>
      <c r="E639" s="97">
        <v>3297.4</v>
      </c>
      <c r="F639" s="97">
        <v>2543.9</v>
      </c>
      <c r="G639" s="46">
        <f>H639+J639+K639+M639+O639+Q639+S639</f>
        <v>817736.66</v>
      </c>
      <c r="H639" s="35">
        <f>ROUND(321.45*F639,2)</f>
        <v>817736.66</v>
      </c>
      <c r="I639" s="35">
        <f>H639/F639</f>
        <v>321.45000196548608</v>
      </c>
      <c r="J639" s="35">
        <v>0</v>
      </c>
      <c r="K639" s="35">
        <v>0</v>
      </c>
      <c r="L639" s="35"/>
      <c r="M639" s="35">
        <v>0</v>
      </c>
      <c r="N639" s="35"/>
      <c r="O639" s="35"/>
      <c r="P639" s="35"/>
      <c r="Q639" s="35">
        <v>0</v>
      </c>
      <c r="R639" s="35">
        <v>0</v>
      </c>
      <c r="S639" s="35">
        <v>0</v>
      </c>
      <c r="T639" s="35">
        <v>0</v>
      </c>
      <c r="U639" s="35">
        <v>0</v>
      </c>
      <c r="V639" s="35">
        <v>0</v>
      </c>
      <c r="W639" s="46">
        <f>G639</f>
        <v>817736.66</v>
      </c>
      <c r="X639" s="165">
        <v>2016</v>
      </c>
      <c r="Y639" s="165">
        <v>2016</v>
      </c>
      <c r="Z639" s="176">
        <f t="shared" si="93"/>
        <v>316</v>
      </c>
    </row>
    <row r="640" spans="1:26" s="120" customFormat="1" ht="19.5" customHeight="1">
      <c r="A640" s="185" t="s">
        <v>208</v>
      </c>
      <c r="B640" s="185"/>
      <c r="C640" s="155"/>
      <c r="D640" s="165"/>
      <c r="E640" s="29">
        <v>0</v>
      </c>
      <c r="F640" s="29">
        <v>0</v>
      </c>
      <c r="G640" s="19">
        <v>0</v>
      </c>
      <c r="H640" s="28">
        <v>0</v>
      </c>
      <c r="I640" s="28"/>
      <c r="J640" s="28">
        <v>0</v>
      </c>
      <c r="K640" s="28">
        <v>0</v>
      </c>
      <c r="L640" s="28"/>
      <c r="M640" s="28">
        <v>0</v>
      </c>
      <c r="N640" s="28"/>
      <c r="O640" s="28">
        <v>0</v>
      </c>
      <c r="P640" s="28"/>
      <c r="Q640" s="28">
        <v>0</v>
      </c>
      <c r="R640" s="28"/>
      <c r="S640" s="28">
        <v>0</v>
      </c>
      <c r="T640" s="28">
        <v>0</v>
      </c>
      <c r="U640" s="28">
        <v>0</v>
      </c>
      <c r="V640" s="28">
        <v>0</v>
      </c>
      <c r="W640" s="19">
        <v>0</v>
      </c>
      <c r="X640" s="20" t="s">
        <v>447</v>
      </c>
      <c r="Y640" s="20" t="s">
        <v>447</v>
      </c>
      <c r="Z640" s="178"/>
    </row>
    <row r="641" spans="1:26" s="120" customFormat="1" ht="19.5" customHeight="1">
      <c r="A641" s="185" t="s">
        <v>206</v>
      </c>
      <c r="B641" s="185"/>
      <c r="C641" s="152"/>
      <c r="D641" s="163"/>
      <c r="E641" s="29">
        <f>SUM(E622:E632)</f>
        <v>70337.099999999991</v>
      </c>
      <c r="F641" s="29">
        <f>SUM(F622:F632)</f>
        <v>54716.799999999996</v>
      </c>
      <c r="G641" s="19">
        <f t="shared" ref="G641:W641" si="94">SUM(G622:G632)</f>
        <v>12616390</v>
      </c>
      <c r="H641" s="28">
        <f t="shared" si="94"/>
        <v>12616390</v>
      </c>
      <c r="I641" s="28"/>
      <c r="J641" s="28">
        <f t="shared" si="94"/>
        <v>0</v>
      </c>
      <c r="K641" s="28">
        <f t="shared" si="94"/>
        <v>0</v>
      </c>
      <c r="L641" s="28"/>
      <c r="M641" s="28">
        <f t="shared" si="94"/>
        <v>0</v>
      </c>
      <c r="N641" s="28"/>
      <c r="O641" s="28">
        <f t="shared" si="94"/>
        <v>0</v>
      </c>
      <c r="P641" s="28"/>
      <c r="Q641" s="28">
        <f t="shared" si="94"/>
        <v>0</v>
      </c>
      <c r="R641" s="28"/>
      <c r="S641" s="28">
        <f t="shared" si="94"/>
        <v>0</v>
      </c>
      <c r="T641" s="28">
        <f t="shared" si="94"/>
        <v>0</v>
      </c>
      <c r="U641" s="28">
        <f t="shared" si="94"/>
        <v>0</v>
      </c>
      <c r="V641" s="28">
        <f t="shared" si="94"/>
        <v>0</v>
      </c>
      <c r="W641" s="19">
        <f t="shared" si="94"/>
        <v>12616390</v>
      </c>
      <c r="X641" s="163" t="s">
        <v>447</v>
      </c>
      <c r="Y641" s="163" t="s">
        <v>447</v>
      </c>
      <c r="Z641" s="178"/>
    </row>
    <row r="642" spans="1:26" s="120" customFormat="1" ht="19.5" customHeight="1">
      <c r="A642" s="185" t="s">
        <v>207</v>
      </c>
      <c r="B642" s="185"/>
      <c r="C642" s="148"/>
      <c r="D642" s="163"/>
      <c r="E642" s="29">
        <f>SUM(E633:E639)</f>
        <v>18546.2</v>
      </c>
      <c r="F642" s="29">
        <f>SUM(F633:F639)</f>
        <v>15627.500000000002</v>
      </c>
      <c r="G642" s="19">
        <f t="shared" ref="G642:W642" si="95">SUM(G633:G639)</f>
        <v>10846390.859999999</v>
      </c>
      <c r="H642" s="28">
        <f t="shared" si="95"/>
        <v>4923328.08</v>
      </c>
      <c r="I642" s="28"/>
      <c r="J642" s="28">
        <f t="shared" si="95"/>
        <v>0</v>
      </c>
      <c r="K642" s="28">
        <f t="shared" si="95"/>
        <v>0</v>
      </c>
      <c r="L642" s="28"/>
      <c r="M642" s="28">
        <f t="shared" si="95"/>
        <v>0</v>
      </c>
      <c r="N642" s="28"/>
      <c r="O642" s="28">
        <f t="shared" si="95"/>
        <v>5466781.4900000002</v>
      </c>
      <c r="P642" s="28"/>
      <c r="Q642" s="28">
        <f t="shared" si="95"/>
        <v>0</v>
      </c>
      <c r="R642" s="28"/>
      <c r="S642" s="28">
        <f t="shared" si="95"/>
        <v>456281.29000000004</v>
      </c>
      <c r="T642" s="28">
        <f t="shared" si="95"/>
        <v>0</v>
      </c>
      <c r="U642" s="28">
        <f t="shared" si="95"/>
        <v>0</v>
      </c>
      <c r="V642" s="28">
        <f t="shared" si="95"/>
        <v>0</v>
      </c>
      <c r="W642" s="19">
        <f t="shared" si="95"/>
        <v>10846390.859999999</v>
      </c>
      <c r="X642" s="20" t="s">
        <v>447</v>
      </c>
      <c r="Y642" s="20" t="s">
        <v>447</v>
      </c>
      <c r="Z642" s="178"/>
    </row>
    <row r="643" spans="1:26" s="120" customFormat="1" ht="19.5" customHeight="1">
      <c r="A643" s="185" t="s">
        <v>471</v>
      </c>
      <c r="B643" s="185"/>
      <c r="C643" s="148"/>
      <c r="D643" s="163"/>
      <c r="E643" s="29">
        <f t="shared" ref="E643:G645" si="96">E640+E618</f>
        <v>0</v>
      </c>
      <c r="F643" s="29">
        <f t="shared" si="96"/>
        <v>0</v>
      </c>
      <c r="G643" s="19">
        <f t="shared" si="96"/>
        <v>0</v>
      </c>
      <c r="H643" s="19">
        <f t="shared" ref="H643:W643" si="97">H640+H618</f>
        <v>0</v>
      </c>
      <c r="I643" s="19">
        <f t="shared" si="97"/>
        <v>0</v>
      </c>
      <c r="J643" s="19">
        <f t="shared" si="97"/>
        <v>0</v>
      </c>
      <c r="K643" s="19">
        <f t="shared" si="97"/>
        <v>0</v>
      </c>
      <c r="L643" s="19">
        <f t="shared" si="97"/>
        <v>0</v>
      </c>
      <c r="M643" s="19">
        <f t="shared" si="97"/>
        <v>0</v>
      </c>
      <c r="N643" s="19">
        <f t="shared" si="97"/>
        <v>0</v>
      </c>
      <c r="O643" s="19">
        <f t="shared" si="97"/>
        <v>0</v>
      </c>
      <c r="P643" s="19">
        <f t="shared" si="97"/>
        <v>0</v>
      </c>
      <c r="Q643" s="19">
        <f t="shared" si="97"/>
        <v>0</v>
      </c>
      <c r="R643" s="19">
        <f t="shared" si="97"/>
        <v>0</v>
      </c>
      <c r="S643" s="19">
        <f t="shared" si="97"/>
        <v>0</v>
      </c>
      <c r="T643" s="19">
        <f t="shared" si="97"/>
        <v>0</v>
      </c>
      <c r="U643" s="19">
        <f t="shared" si="97"/>
        <v>0</v>
      </c>
      <c r="V643" s="19">
        <f t="shared" si="97"/>
        <v>0</v>
      </c>
      <c r="W643" s="19">
        <f t="shared" si="97"/>
        <v>0</v>
      </c>
      <c r="X643" s="20" t="s">
        <v>447</v>
      </c>
      <c r="Y643" s="20" t="s">
        <v>447</v>
      </c>
      <c r="Z643" s="178"/>
    </row>
    <row r="644" spans="1:26" s="120" customFormat="1" ht="19.5" customHeight="1">
      <c r="A644" s="185" t="s">
        <v>353</v>
      </c>
      <c r="B644" s="185"/>
      <c r="C644" s="152"/>
      <c r="D644" s="163"/>
      <c r="E644" s="29">
        <f>E641+E619</f>
        <v>74617.399999999994</v>
      </c>
      <c r="F644" s="29">
        <f t="shared" si="96"/>
        <v>58603.499999999993</v>
      </c>
      <c r="G644" s="19">
        <f t="shared" si="96"/>
        <v>13872790</v>
      </c>
      <c r="H644" s="19">
        <f t="shared" ref="H644:W644" si="98">H641+H619</f>
        <v>13872790</v>
      </c>
      <c r="I644" s="19">
        <f t="shared" si="98"/>
        <v>0</v>
      </c>
      <c r="J644" s="19">
        <f t="shared" si="98"/>
        <v>0</v>
      </c>
      <c r="K644" s="19">
        <f t="shared" si="98"/>
        <v>0</v>
      </c>
      <c r="L644" s="19">
        <f t="shared" si="98"/>
        <v>0</v>
      </c>
      <c r="M644" s="19">
        <f t="shared" si="98"/>
        <v>0</v>
      </c>
      <c r="N644" s="19">
        <f t="shared" si="98"/>
        <v>0</v>
      </c>
      <c r="O644" s="19">
        <f t="shared" si="98"/>
        <v>0</v>
      </c>
      <c r="P644" s="19">
        <f t="shared" si="98"/>
        <v>0</v>
      </c>
      <c r="Q644" s="19">
        <f t="shared" si="98"/>
        <v>0</v>
      </c>
      <c r="R644" s="19">
        <f t="shared" si="98"/>
        <v>0</v>
      </c>
      <c r="S644" s="19">
        <f t="shared" si="98"/>
        <v>0</v>
      </c>
      <c r="T644" s="19">
        <f t="shared" si="98"/>
        <v>0</v>
      </c>
      <c r="U644" s="19">
        <f t="shared" si="98"/>
        <v>0</v>
      </c>
      <c r="V644" s="19">
        <f t="shared" si="98"/>
        <v>0</v>
      </c>
      <c r="W644" s="19">
        <f t="shared" si="98"/>
        <v>13872790</v>
      </c>
      <c r="X644" s="163" t="s">
        <v>447</v>
      </c>
      <c r="Y644" s="163" t="s">
        <v>447</v>
      </c>
      <c r="Z644" s="178"/>
    </row>
    <row r="645" spans="1:26" s="120" customFormat="1" ht="19.5" customHeight="1">
      <c r="A645" s="185" t="s">
        <v>472</v>
      </c>
      <c r="B645" s="185"/>
      <c r="C645" s="152"/>
      <c r="D645" s="163"/>
      <c r="E645" s="29">
        <f>E642+E620</f>
        <v>53108.600000000006</v>
      </c>
      <c r="F645" s="29">
        <f t="shared" si="96"/>
        <v>43685.600000000006</v>
      </c>
      <c r="G645" s="19">
        <f t="shared" si="96"/>
        <v>35100344.909999996</v>
      </c>
      <c r="H645" s="19">
        <f t="shared" ref="H645:W645" si="99">H642+H620</f>
        <v>14566417.639999999</v>
      </c>
      <c r="I645" s="19">
        <f t="shared" si="99"/>
        <v>4915.8226779765528</v>
      </c>
      <c r="J645" s="19">
        <f t="shared" si="99"/>
        <v>10497095.550000001</v>
      </c>
      <c r="K645" s="19">
        <f t="shared" si="99"/>
        <v>3314206.892</v>
      </c>
      <c r="L645" s="19">
        <f t="shared" si="99"/>
        <v>5335.2518741765098</v>
      </c>
      <c r="M645" s="19">
        <f t="shared" si="99"/>
        <v>60920.95</v>
      </c>
      <c r="N645" s="19">
        <f t="shared" si="99"/>
        <v>14.966453752610244</v>
      </c>
      <c r="O645" s="19">
        <f t="shared" si="99"/>
        <v>5919915.7379999999</v>
      </c>
      <c r="P645" s="19">
        <f t="shared" si="99"/>
        <v>1180.9597289549126</v>
      </c>
      <c r="Q645" s="19">
        <f t="shared" si="99"/>
        <v>0</v>
      </c>
      <c r="R645" s="19">
        <f t="shared" si="99"/>
        <v>0</v>
      </c>
      <c r="S645" s="19">
        <f t="shared" si="99"/>
        <v>741788.14</v>
      </c>
      <c r="T645" s="19">
        <f t="shared" si="99"/>
        <v>0</v>
      </c>
      <c r="U645" s="19">
        <f t="shared" si="99"/>
        <v>0</v>
      </c>
      <c r="V645" s="19">
        <f t="shared" si="99"/>
        <v>0</v>
      </c>
      <c r="W645" s="19">
        <f t="shared" si="99"/>
        <v>35100344.909999996</v>
      </c>
      <c r="X645" s="20" t="s">
        <v>447</v>
      </c>
      <c r="Y645" s="20" t="s">
        <v>447</v>
      </c>
      <c r="Z645" s="178"/>
    </row>
    <row r="646" spans="1:26" s="120" customFormat="1" ht="17.25" customHeight="1">
      <c r="A646" s="187" t="s">
        <v>346</v>
      </c>
      <c r="B646" s="187"/>
      <c r="C646" s="187"/>
      <c r="D646" s="187"/>
      <c r="E646" s="187"/>
      <c r="F646" s="187"/>
      <c r="G646" s="187"/>
      <c r="H646" s="187"/>
      <c r="I646" s="187"/>
      <c r="J646" s="187"/>
      <c r="K646" s="187"/>
      <c r="L646" s="187"/>
      <c r="M646" s="187"/>
      <c r="N646" s="187"/>
      <c r="O646" s="187"/>
      <c r="P646" s="187"/>
      <c r="Q646" s="187"/>
      <c r="R646" s="187"/>
      <c r="S646" s="187"/>
      <c r="T646" s="187"/>
      <c r="U646" s="187"/>
      <c r="V646" s="187"/>
      <c r="W646" s="187"/>
      <c r="X646" s="165"/>
      <c r="Y646" s="165"/>
      <c r="Z646" s="178"/>
    </row>
    <row r="647" spans="1:26" s="120" customFormat="1" ht="17.25" customHeight="1">
      <c r="A647" s="187" t="s">
        <v>117</v>
      </c>
      <c r="B647" s="187"/>
      <c r="C647" s="187"/>
      <c r="D647" s="187"/>
      <c r="E647" s="187"/>
      <c r="F647" s="187"/>
      <c r="G647" s="187"/>
      <c r="H647" s="187"/>
      <c r="I647" s="187"/>
      <c r="J647" s="187"/>
      <c r="K647" s="187"/>
      <c r="L647" s="187"/>
      <c r="M647" s="187"/>
      <c r="N647" s="187"/>
      <c r="O647" s="187"/>
      <c r="P647" s="187"/>
      <c r="Q647" s="187"/>
      <c r="R647" s="187"/>
      <c r="S647" s="187"/>
      <c r="T647" s="187"/>
      <c r="U647" s="187"/>
      <c r="V647" s="187"/>
      <c r="W647" s="187"/>
      <c r="X647" s="165"/>
      <c r="Y647" s="165"/>
      <c r="Z647" s="178"/>
    </row>
    <row r="648" spans="1:26" s="120" customFormat="1" ht="18" customHeight="1">
      <c r="A648" s="165">
        <f>A639+1</f>
        <v>501</v>
      </c>
      <c r="B648" s="24" t="s">
        <v>78</v>
      </c>
      <c r="C648" s="158">
        <v>1968</v>
      </c>
      <c r="D648" s="101"/>
      <c r="E648" s="102">
        <v>577.4</v>
      </c>
      <c r="F648" s="49">
        <v>515.9</v>
      </c>
      <c r="G648" s="142">
        <f>SUM(H648:S648)</f>
        <v>50525</v>
      </c>
      <c r="H648" s="103">
        <v>50525</v>
      </c>
      <c r="I648" s="103"/>
      <c r="J648" s="35">
        <v>0</v>
      </c>
      <c r="K648" s="35">
        <v>0</v>
      </c>
      <c r="L648" s="35"/>
      <c r="M648" s="35">
        <v>0</v>
      </c>
      <c r="N648" s="35"/>
      <c r="O648" s="35">
        <v>0</v>
      </c>
      <c r="P648" s="35"/>
      <c r="Q648" s="35">
        <v>0</v>
      </c>
      <c r="R648" s="35"/>
      <c r="S648" s="35">
        <v>0</v>
      </c>
      <c r="T648" s="35">
        <v>0</v>
      </c>
      <c r="U648" s="35">
        <v>0</v>
      </c>
      <c r="V648" s="103">
        <v>50525</v>
      </c>
      <c r="W648" s="46">
        <v>0</v>
      </c>
      <c r="X648" s="165">
        <v>2014</v>
      </c>
      <c r="Y648" s="165">
        <v>2014</v>
      </c>
      <c r="Z648" s="178"/>
    </row>
    <row r="649" spans="1:26" s="120" customFormat="1" ht="18" customHeight="1">
      <c r="A649" s="165">
        <f>A648+1</f>
        <v>502</v>
      </c>
      <c r="B649" s="24" t="s">
        <v>77</v>
      </c>
      <c r="C649" s="158">
        <v>1936</v>
      </c>
      <c r="D649" s="101"/>
      <c r="E649" s="102">
        <v>306.60000000000002</v>
      </c>
      <c r="F649" s="49">
        <v>269.3</v>
      </c>
      <c r="G649" s="142">
        <f>SUM(H649:S649)</f>
        <v>87645</v>
      </c>
      <c r="H649" s="103">
        <v>87645</v>
      </c>
      <c r="I649" s="103"/>
      <c r="J649" s="35">
        <v>0</v>
      </c>
      <c r="K649" s="35">
        <v>0</v>
      </c>
      <c r="L649" s="35"/>
      <c r="M649" s="35">
        <v>0</v>
      </c>
      <c r="N649" s="35"/>
      <c r="O649" s="35">
        <v>0</v>
      </c>
      <c r="P649" s="35"/>
      <c r="Q649" s="35">
        <v>0</v>
      </c>
      <c r="R649" s="35"/>
      <c r="S649" s="35">
        <v>0</v>
      </c>
      <c r="T649" s="35">
        <v>0</v>
      </c>
      <c r="U649" s="35">
        <v>0</v>
      </c>
      <c r="V649" s="103">
        <v>87645</v>
      </c>
      <c r="W649" s="46">
        <v>0</v>
      </c>
      <c r="X649" s="165">
        <v>2014</v>
      </c>
      <c r="Y649" s="165">
        <v>2014</v>
      </c>
      <c r="Z649" s="178"/>
    </row>
    <row r="650" spans="1:26" s="120" customFormat="1" ht="18" customHeight="1">
      <c r="A650" s="165">
        <f t="shared" ref="A650:A663" si="100">A649+1</f>
        <v>503</v>
      </c>
      <c r="B650" s="24" t="s">
        <v>79</v>
      </c>
      <c r="C650" s="158">
        <v>1973</v>
      </c>
      <c r="D650" s="101"/>
      <c r="E650" s="102">
        <v>596.6</v>
      </c>
      <c r="F650" s="49">
        <v>334.8</v>
      </c>
      <c r="G650" s="142">
        <f>SUM(H650:S650)</f>
        <v>86265</v>
      </c>
      <c r="H650" s="103">
        <v>86265</v>
      </c>
      <c r="I650" s="103"/>
      <c r="J650" s="35">
        <v>0</v>
      </c>
      <c r="K650" s="35">
        <v>0</v>
      </c>
      <c r="L650" s="35"/>
      <c r="M650" s="35">
        <v>0</v>
      </c>
      <c r="N650" s="35"/>
      <c r="O650" s="35">
        <v>0</v>
      </c>
      <c r="P650" s="35"/>
      <c r="Q650" s="35">
        <v>0</v>
      </c>
      <c r="R650" s="35"/>
      <c r="S650" s="35">
        <v>0</v>
      </c>
      <c r="T650" s="35">
        <v>0</v>
      </c>
      <c r="U650" s="35">
        <v>0</v>
      </c>
      <c r="V650" s="103">
        <v>81949.960000000006</v>
      </c>
      <c r="W650" s="46">
        <v>4315.04</v>
      </c>
      <c r="X650" s="165">
        <v>2014</v>
      </c>
      <c r="Y650" s="165">
        <v>2014</v>
      </c>
      <c r="Z650" s="178"/>
    </row>
    <row r="651" spans="1:26" s="120" customFormat="1" ht="18" customHeight="1">
      <c r="A651" s="165">
        <f t="shared" si="100"/>
        <v>504</v>
      </c>
      <c r="B651" s="24" t="s">
        <v>68</v>
      </c>
      <c r="C651" s="158" t="s">
        <v>69</v>
      </c>
      <c r="D651" s="101"/>
      <c r="E651" s="102">
        <v>1231.0999999999999</v>
      </c>
      <c r="F651" s="49">
        <v>209.4</v>
      </c>
      <c r="G651" s="142">
        <f>SUM(H651:S651)</f>
        <v>399886.49</v>
      </c>
      <c r="H651" s="35">
        <v>0</v>
      </c>
      <c r="I651" s="35"/>
      <c r="J651" s="35">
        <v>0</v>
      </c>
      <c r="K651" s="103">
        <v>399886.49</v>
      </c>
      <c r="L651" s="103"/>
      <c r="M651" s="35">
        <v>0</v>
      </c>
      <c r="N651" s="35"/>
      <c r="O651" s="35">
        <v>0</v>
      </c>
      <c r="P651" s="35"/>
      <c r="Q651" s="35">
        <v>0</v>
      </c>
      <c r="R651" s="35"/>
      <c r="S651" s="35">
        <v>0</v>
      </c>
      <c r="T651" s="35">
        <v>0</v>
      </c>
      <c r="U651" s="35">
        <v>0</v>
      </c>
      <c r="V651" s="103">
        <v>399886.49</v>
      </c>
      <c r="W651" s="46">
        <v>0</v>
      </c>
      <c r="X651" s="165">
        <v>2014</v>
      </c>
      <c r="Y651" s="165">
        <v>2014</v>
      </c>
      <c r="Z651" s="178"/>
    </row>
    <row r="652" spans="1:26" s="120" customFormat="1" ht="18" customHeight="1">
      <c r="A652" s="165">
        <f t="shared" si="100"/>
        <v>505</v>
      </c>
      <c r="B652" s="24" t="s">
        <v>74</v>
      </c>
      <c r="C652" s="158" t="s">
        <v>75</v>
      </c>
      <c r="D652" s="101"/>
      <c r="E652" s="102" t="s">
        <v>76</v>
      </c>
      <c r="F652" s="49">
        <v>335.7</v>
      </c>
      <c r="G652" s="142">
        <f>SUM(H652:S652)</f>
        <v>227613.3</v>
      </c>
      <c r="H652" s="103">
        <v>227613.3</v>
      </c>
      <c r="I652" s="103"/>
      <c r="J652" s="35">
        <v>0</v>
      </c>
      <c r="K652" s="35">
        <v>0</v>
      </c>
      <c r="L652" s="35"/>
      <c r="M652" s="35">
        <v>0</v>
      </c>
      <c r="N652" s="35"/>
      <c r="O652" s="35">
        <v>0</v>
      </c>
      <c r="P652" s="35"/>
      <c r="Q652" s="35">
        <v>0</v>
      </c>
      <c r="R652" s="35"/>
      <c r="S652" s="35">
        <v>0</v>
      </c>
      <c r="T652" s="35">
        <v>0</v>
      </c>
      <c r="U652" s="35">
        <v>0</v>
      </c>
      <c r="V652" s="103">
        <v>227613.3</v>
      </c>
      <c r="W652" s="46">
        <v>0</v>
      </c>
      <c r="X652" s="165">
        <v>2014</v>
      </c>
      <c r="Y652" s="165">
        <v>2014</v>
      </c>
      <c r="Z652" s="178"/>
    </row>
    <row r="653" spans="1:26" s="120" customFormat="1" ht="18" customHeight="1">
      <c r="A653" s="165">
        <f t="shared" si="100"/>
        <v>506</v>
      </c>
      <c r="B653" s="24" t="s">
        <v>72</v>
      </c>
      <c r="C653" s="158">
        <v>1993</v>
      </c>
      <c r="D653" s="101"/>
      <c r="E653" s="102">
        <v>5345.4</v>
      </c>
      <c r="F653" s="49">
        <v>4644.6000000000004</v>
      </c>
      <c r="G653" s="142">
        <f>SUM(H653:S653)</f>
        <v>1459698.7</v>
      </c>
      <c r="H653" s="35">
        <v>0</v>
      </c>
      <c r="I653" s="35"/>
      <c r="J653" s="35">
        <v>0</v>
      </c>
      <c r="K653" s="103">
        <v>1459698.7</v>
      </c>
      <c r="L653" s="35"/>
      <c r="M653" s="35">
        <v>0</v>
      </c>
      <c r="N653" s="35"/>
      <c r="O653" s="35">
        <v>0</v>
      </c>
      <c r="P653" s="35"/>
      <c r="Q653" s="35">
        <v>0</v>
      </c>
      <c r="R653" s="35"/>
      <c r="S653" s="35">
        <v>0</v>
      </c>
      <c r="T653" s="35">
        <v>0</v>
      </c>
      <c r="U653" s="35">
        <v>0</v>
      </c>
      <c r="V653" s="103">
        <v>1459698.7</v>
      </c>
      <c r="W653" s="46">
        <v>0</v>
      </c>
      <c r="X653" s="165">
        <v>2014</v>
      </c>
      <c r="Y653" s="165">
        <v>2014</v>
      </c>
      <c r="Z653" s="178"/>
    </row>
    <row r="654" spans="1:26" s="120" customFormat="1" ht="18" customHeight="1">
      <c r="A654" s="165">
        <f t="shared" si="100"/>
        <v>507</v>
      </c>
      <c r="B654" s="24" t="s">
        <v>71</v>
      </c>
      <c r="C654" s="158">
        <v>1935</v>
      </c>
      <c r="D654" s="101"/>
      <c r="E654" s="102">
        <v>292</v>
      </c>
      <c r="F654" s="49">
        <v>259.2</v>
      </c>
      <c r="G654" s="142">
        <f>SUM(H654:S654)</f>
        <v>201935</v>
      </c>
      <c r="H654" s="35">
        <v>0</v>
      </c>
      <c r="I654" s="35"/>
      <c r="J654" s="35">
        <v>0</v>
      </c>
      <c r="K654" s="35">
        <v>0</v>
      </c>
      <c r="L654" s="35"/>
      <c r="M654" s="35">
        <v>0</v>
      </c>
      <c r="N654" s="35"/>
      <c r="O654" s="103">
        <v>201935</v>
      </c>
      <c r="P654" s="103"/>
      <c r="Q654" s="35">
        <v>0</v>
      </c>
      <c r="R654" s="35"/>
      <c r="S654" s="35">
        <v>0</v>
      </c>
      <c r="T654" s="35">
        <v>0</v>
      </c>
      <c r="U654" s="35">
        <v>0</v>
      </c>
      <c r="V654" s="103">
        <v>191838.29</v>
      </c>
      <c r="W654" s="46">
        <v>10096.709999999999</v>
      </c>
      <c r="X654" s="165">
        <v>2014</v>
      </c>
      <c r="Y654" s="165">
        <v>2014</v>
      </c>
      <c r="Z654" s="178"/>
    </row>
    <row r="655" spans="1:26" s="120" customFormat="1" ht="18" customHeight="1">
      <c r="A655" s="165">
        <f t="shared" si="100"/>
        <v>508</v>
      </c>
      <c r="B655" s="24" t="s">
        <v>73</v>
      </c>
      <c r="C655" s="158">
        <v>1978</v>
      </c>
      <c r="D655" s="101"/>
      <c r="E655" s="102">
        <v>727.7</v>
      </c>
      <c r="F655" s="49">
        <v>411.8</v>
      </c>
      <c r="G655" s="142">
        <f>SUM(H655:S655)</f>
        <v>642855</v>
      </c>
      <c r="H655" s="35">
        <v>0</v>
      </c>
      <c r="I655" s="35"/>
      <c r="J655" s="35">
        <v>0</v>
      </c>
      <c r="K655" s="103">
        <v>642855</v>
      </c>
      <c r="L655" s="35"/>
      <c r="M655" s="35">
        <v>0</v>
      </c>
      <c r="N655" s="35"/>
      <c r="O655" s="35">
        <v>0</v>
      </c>
      <c r="P655" s="35"/>
      <c r="Q655" s="35">
        <v>0</v>
      </c>
      <c r="R655" s="35"/>
      <c r="S655" s="35">
        <v>0</v>
      </c>
      <c r="T655" s="35">
        <v>0</v>
      </c>
      <c r="U655" s="35">
        <v>0</v>
      </c>
      <c r="V655" s="103">
        <v>610711.03</v>
      </c>
      <c r="W655" s="46">
        <v>32143.97</v>
      </c>
      <c r="X655" s="165">
        <v>2014</v>
      </c>
      <c r="Y655" s="165">
        <v>2014</v>
      </c>
      <c r="Z655" s="178"/>
    </row>
    <row r="656" spans="1:26" s="120" customFormat="1" ht="18" customHeight="1">
      <c r="A656" s="165">
        <f t="shared" si="100"/>
        <v>509</v>
      </c>
      <c r="B656" s="24" t="s">
        <v>70</v>
      </c>
      <c r="C656" s="158">
        <v>1964</v>
      </c>
      <c r="D656" s="101"/>
      <c r="E656" s="49">
        <v>965.9</v>
      </c>
      <c r="F656" s="49">
        <v>564.6</v>
      </c>
      <c r="G656" s="142">
        <f>SUM(H656:S656)</f>
        <v>591487</v>
      </c>
      <c r="H656" s="35">
        <v>0</v>
      </c>
      <c r="I656" s="35"/>
      <c r="J656" s="35">
        <v>0</v>
      </c>
      <c r="K656" s="35">
        <v>0</v>
      </c>
      <c r="L656" s="35"/>
      <c r="M656" s="35">
        <v>591487</v>
      </c>
      <c r="N656" s="35"/>
      <c r="O656" s="35">
        <v>0</v>
      </c>
      <c r="P656" s="35"/>
      <c r="Q656" s="35">
        <v>0</v>
      </c>
      <c r="R656" s="35"/>
      <c r="S656" s="35">
        <v>0</v>
      </c>
      <c r="T656" s="35">
        <v>0</v>
      </c>
      <c r="U656" s="35">
        <v>0</v>
      </c>
      <c r="V656" s="103">
        <v>561911.4</v>
      </c>
      <c r="W656" s="46">
        <v>29575.599999999999</v>
      </c>
      <c r="X656" s="165">
        <v>2014</v>
      </c>
      <c r="Y656" s="165">
        <v>2014</v>
      </c>
      <c r="Z656" s="178"/>
    </row>
    <row r="657" spans="1:26" s="120" customFormat="1" ht="18" customHeight="1">
      <c r="A657" s="165">
        <f t="shared" si="100"/>
        <v>510</v>
      </c>
      <c r="B657" s="24" t="s">
        <v>80</v>
      </c>
      <c r="C657" s="155" t="s">
        <v>24</v>
      </c>
      <c r="D657" s="68"/>
      <c r="E657" s="84">
        <v>3724.2</v>
      </c>
      <c r="F657" s="49">
        <v>2729.1</v>
      </c>
      <c r="G657" s="76">
        <f t="shared" ref="G648:G657" si="101">SUM(H657:S657)</f>
        <v>1281085.8799999999</v>
      </c>
      <c r="H657" s="35">
        <v>0</v>
      </c>
      <c r="I657" s="35"/>
      <c r="J657" s="35">
        <v>0</v>
      </c>
      <c r="K657" s="35">
        <v>1281085.8799999999</v>
      </c>
      <c r="L657" s="35"/>
      <c r="M657" s="35">
        <v>0</v>
      </c>
      <c r="N657" s="35"/>
      <c r="O657" s="35">
        <v>0</v>
      </c>
      <c r="P657" s="35"/>
      <c r="Q657" s="35">
        <v>0</v>
      </c>
      <c r="R657" s="35"/>
      <c r="S657" s="35">
        <v>0</v>
      </c>
      <c r="T657" s="161">
        <f>597500-24344.77</f>
        <v>573155.23</v>
      </c>
      <c r="U657" s="35">
        <v>0</v>
      </c>
      <c r="V657" s="161">
        <f>G657-T657</f>
        <v>707930.64999999991</v>
      </c>
      <c r="W657" s="46">
        <v>0</v>
      </c>
      <c r="X657" s="165">
        <v>2014</v>
      </c>
      <c r="Y657" s="165">
        <v>2015</v>
      </c>
      <c r="Z657" s="178"/>
    </row>
    <row r="658" spans="1:26" s="120" customFormat="1" ht="18" customHeight="1">
      <c r="A658" s="165">
        <f t="shared" si="100"/>
        <v>511</v>
      </c>
      <c r="B658" s="24" t="s">
        <v>347</v>
      </c>
      <c r="C658" s="148" t="s">
        <v>345</v>
      </c>
      <c r="D658" s="165"/>
      <c r="E658" s="49">
        <v>526.9</v>
      </c>
      <c r="F658" s="44">
        <v>339.3</v>
      </c>
      <c r="G658" s="46">
        <f>H658+J658+K658+M658+O658+Q658+S658</f>
        <v>1311163.78</v>
      </c>
      <c r="H658" s="35">
        <f>ROUND((87.53+137.04+166.65+412.58+493.96)*339.3,2)</f>
        <v>440329.97</v>
      </c>
      <c r="I658" s="35">
        <f>H658/F658</f>
        <v>1297.7600058944886</v>
      </c>
      <c r="J658" s="35">
        <v>0</v>
      </c>
      <c r="K658" s="35">
        <v>0</v>
      </c>
      <c r="L658" s="35"/>
      <c r="M658" s="35">
        <v>0</v>
      </c>
      <c r="N658" s="35"/>
      <c r="O658" s="35">
        <f>ROUND(2566.56*339.3,2)</f>
        <v>870833.81</v>
      </c>
      <c r="P658" s="35">
        <f>O658/F658</f>
        <v>2566.5600058944888</v>
      </c>
      <c r="Q658" s="35">
        <v>0</v>
      </c>
      <c r="R658" s="35"/>
      <c r="S658" s="35">
        <v>0</v>
      </c>
      <c r="T658" s="35">
        <v>0</v>
      </c>
      <c r="U658" s="35">
        <v>0</v>
      </c>
      <c r="V658" s="35">
        <v>0</v>
      </c>
      <c r="W658" s="46">
        <f>G658</f>
        <v>1311163.78</v>
      </c>
      <c r="X658" s="165">
        <v>2015</v>
      </c>
      <c r="Y658" s="165">
        <v>2017</v>
      </c>
      <c r="Z658" s="179">
        <f>Z639+1</f>
        <v>317</v>
      </c>
    </row>
    <row r="659" spans="1:26" s="120" customFormat="1" ht="18" customHeight="1">
      <c r="A659" s="165">
        <f t="shared" si="100"/>
        <v>512</v>
      </c>
      <c r="B659" s="24" t="s">
        <v>348</v>
      </c>
      <c r="C659" s="148" t="s">
        <v>345</v>
      </c>
      <c r="D659" s="165"/>
      <c r="E659" s="49">
        <v>534.70000000000005</v>
      </c>
      <c r="F659" s="44">
        <v>349.4</v>
      </c>
      <c r="G659" s="46">
        <f>H659+J659+K659+M659+O659+Q659+S659</f>
        <v>1350193.4000000001</v>
      </c>
      <c r="H659" s="35">
        <f>ROUND((87.53+137.04+166.65+412.58+493.96)*349.4,2)</f>
        <v>453437.34</v>
      </c>
      <c r="I659" s="35">
        <f>H659/F659</f>
        <v>1297.7599885518032</v>
      </c>
      <c r="J659" s="35">
        <v>0</v>
      </c>
      <c r="K659" s="35">
        <v>0</v>
      </c>
      <c r="L659" s="35"/>
      <c r="M659" s="35">
        <v>0</v>
      </c>
      <c r="N659" s="35"/>
      <c r="O659" s="35">
        <f>ROUND(2566.56*349.4,2)</f>
        <v>896756.06</v>
      </c>
      <c r="P659" s="35">
        <f>O659/F659</f>
        <v>2566.5599885518036</v>
      </c>
      <c r="Q659" s="35">
        <v>0</v>
      </c>
      <c r="R659" s="35"/>
      <c r="S659" s="35">
        <v>0</v>
      </c>
      <c r="T659" s="35">
        <v>0</v>
      </c>
      <c r="U659" s="35">
        <v>0</v>
      </c>
      <c r="V659" s="35">
        <v>0</v>
      </c>
      <c r="W659" s="46">
        <f>G659</f>
        <v>1350193.4000000001</v>
      </c>
      <c r="X659" s="165">
        <v>2015</v>
      </c>
      <c r="Y659" s="165">
        <v>2017</v>
      </c>
      <c r="Z659" s="179">
        <f>Z658+1</f>
        <v>318</v>
      </c>
    </row>
    <row r="660" spans="1:26" s="120" customFormat="1" ht="18" customHeight="1">
      <c r="A660" s="165">
        <f t="shared" si="100"/>
        <v>513</v>
      </c>
      <c r="B660" s="24" t="s">
        <v>643</v>
      </c>
      <c r="C660" s="148" t="s">
        <v>275</v>
      </c>
      <c r="D660" s="165"/>
      <c r="E660" s="49">
        <f>438.1+51</f>
        <v>489.1</v>
      </c>
      <c r="F660" s="44">
        <v>438.1</v>
      </c>
      <c r="G660" s="46">
        <f>H660+J660+K660+M660+O660+Q660+S660</f>
        <v>641908.5</v>
      </c>
      <c r="H660" s="35">
        <f>ROUND((314.58+134.26+203.39+158.03+654.95)*F660,2)-S660</f>
        <v>611370.1</v>
      </c>
      <c r="I660" s="35">
        <f>H660/F660</f>
        <v>1395.5035380050215</v>
      </c>
      <c r="J660" s="35">
        <v>0</v>
      </c>
      <c r="K660" s="35">
        <v>0</v>
      </c>
      <c r="L660" s="35"/>
      <c r="M660" s="35">
        <v>0</v>
      </c>
      <c r="N660" s="35"/>
      <c r="O660" s="35">
        <v>0</v>
      </c>
      <c r="P660" s="35"/>
      <c r="Q660" s="35">
        <v>0</v>
      </c>
      <c r="R660" s="35"/>
      <c r="S660" s="35">
        <v>30538.400000000001</v>
      </c>
      <c r="T660" s="35">
        <v>0</v>
      </c>
      <c r="U660" s="35">
        <v>0</v>
      </c>
      <c r="V660" s="35">
        <v>0</v>
      </c>
      <c r="W660" s="46">
        <f>G660</f>
        <v>641908.5</v>
      </c>
      <c r="X660" s="165">
        <v>2015</v>
      </c>
      <c r="Y660" s="165">
        <v>2017</v>
      </c>
      <c r="Z660" s="179">
        <f t="shared" ref="Z660:Z663" si="102">Z659+1</f>
        <v>319</v>
      </c>
    </row>
    <row r="661" spans="1:26" s="120" customFormat="1" ht="18" customHeight="1">
      <c r="A661" s="165">
        <f t="shared" si="100"/>
        <v>514</v>
      </c>
      <c r="B661" s="24" t="s">
        <v>349</v>
      </c>
      <c r="C661" s="148" t="s">
        <v>350</v>
      </c>
      <c r="D661" s="165"/>
      <c r="E661" s="49">
        <v>516.4</v>
      </c>
      <c r="F661" s="44">
        <v>325.7</v>
      </c>
      <c r="G661" s="46">
        <f>H661+J661+K661+M661+O661+Q661+S661</f>
        <v>422680.43</v>
      </c>
      <c r="H661" s="35">
        <f>ROUND((87.53+137.04+166.65+412.58+493.96)*325.7,2)</f>
        <v>422680.43</v>
      </c>
      <c r="I661" s="35">
        <f>H661/F661</f>
        <v>1297.7599938593798</v>
      </c>
      <c r="J661" s="35">
        <v>0</v>
      </c>
      <c r="K661" s="35">
        <v>0</v>
      </c>
      <c r="L661" s="35"/>
      <c r="M661" s="35">
        <v>0</v>
      </c>
      <c r="N661" s="35"/>
      <c r="O661" s="35">
        <v>0</v>
      </c>
      <c r="P661" s="35"/>
      <c r="Q661" s="35">
        <v>0</v>
      </c>
      <c r="R661" s="35"/>
      <c r="S661" s="35">
        <v>0</v>
      </c>
      <c r="T661" s="35">
        <v>0</v>
      </c>
      <c r="U661" s="35">
        <v>0</v>
      </c>
      <c r="V661" s="35">
        <v>0</v>
      </c>
      <c r="W661" s="46">
        <f>G661</f>
        <v>422680.43</v>
      </c>
      <c r="X661" s="165">
        <v>2015</v>
      </c>
      <c r="Y661" s="165">
        <v>2017</v>
      </c>
      <c r="Z661" s="179">
        <f t="shared" si="102"/>
        <v>320</v>
      </c>
    </row>
    <row r="662" spans="1:26" s="120" customFormat="1" ht="18" customHeight="1">
      <c r="A662" s="165">
        <f t="shared" si="100"/>
        <v>515</v>
      </c>
      <c r="B662" s="24" t="s">
        <v>644</v>
      </c>
      <c r="C662" s="148" t="s">
        <v>275</v>
      </c>
      <c r="D662" s="165"/>
      <c r="E662" s="49">
        <v>273.39999999999998</v>
      </c>
      <c r="F662" s="133">
        <v>251</v>
      </c>
      <c r="G662" s="46">
        <f>H662+J662+K662+M662+O662+Q662+S662</f>
        <v>24974.5</v>
      </c>
      <c r="H662" s="35">
        <v>0</v>
      </c>
      <c r="I662" s="35"/>
      <c r="J662" s="35">
        <v>0</v>
      </c>
      <c r="K662" s="35">
        <v>0</v>
      </c>
      <c r="L662" s="35"/>
      <c r="M662" s="35">
        <v>0</v>
      </c>
      <c r="N662" s="35"/>
      <c r="O662" s="35">
        <v>0</v>
      </c>
      <c r="P662" s="35"/>
      <c r="Q662" s="35">
        <f>ROUND(99.5*F662,2)-S662</f>
        <v>23476.03</v>
      </c>
      <c r="R662" s="35">
        <f>Q662/F662</f>
        <v>93.53</v>
      </c>
      <c r="S662" s="35">
        <v>1498.47</v>
      </c>
      <c r="T662" s="35">
        <v>0</v>
      </c>
      <c r="U662" s="35">
        <v>0</v>
      </c>
      <c r="V662" s="35">
        <v>0</v>
      </c>
      <c r="W662" s="46">
        <f>G662</f>
        <v>24974.5</v>
      </c>
      <c r="X662" s="165">
        <v>2015</v>
      </c>
      <c r="Y662" s="165">
        <v>2017</v>
      </c>
      <c r="Z662" s="179">
        <f t="shared" si="102"/>
        <v>321</v>
      </c>
    </row>
    <row r="663" spans="1:26" s="120" customFormat="1" ht="18" customHeight="1">
      <c r="A663" s="165">
        <f t="shared" si="100"/>
        <v>516</v>
      </c>
      <c r="B663" s="24" t="s">
        <v>645</v>
      </c>
      <c r="C663" s="148" t="s">
        <v>275</v>
      </c>
      <c r="D663" s="165"/>
      <c r="E663" s="49">
        <f>421.8+50.4</f>
        <v>472.2</v>
      </c>
      <c r="F663" s="44">
        <v>421.8</v>
      </c>
      <c r="G663" s="46">
        <f>H663+J663+K663+M663+O663+Q663+S663</f>
        <v>41969.1</v>
      </c>
      <c r="H663" s="35">
        <v>0</v>
      </c>
      <c r="I663" s="35"/>
      <c r="J663" s="35">
        <v>0</v>
      </c>
      <c r="K663" s="35">
        <v>0</v>
      </c>
      <c r="L663" s="35"/>
      <c r="M663" s="35">
        <v>0</v>
      </c>
      <c r="N663" s="35"/>
      <c r="O663" s="35">
        <v>0</v>
      </c>
      <c r="P663" s="35"/>
      <c r="Q663" s="35">
        <f>ROUND(99.5*F663,2)-S663</f>
        <v>39450.949999999997</v>
      </c>
      <c r="R663" s="35">
        <f>Q663/F663</f>
        <v>93.529990516832612</v>
      </c>
      <c r="S663" s="35">
        <v>2518.15</v>
      </c>
      <c r="T663" s="35">
        <v>0</v>
      </c>
      <c r="U663" s="35">
        <v>0</v>
      </c>
      <c r="V663" s="35">
        <v>0</v>
      </c>
      <c r="W663" s="46">
        <f>G663</f>
        <v>41969.1</v>
      </c>
      <c r="X663" s="165">
        <v>2015</v>
      </c>
      <c r="Y663" s="165">
        <v>2017</v>
      </c>
      <c r="Z663" s="179">
        <f t="shared" si="102"/>
        <v>322</v>
      </c>
    </row>
    <row r="664" spans="1:26" s="120" customFormat="1" ht="19.5" customHeight="1">
      <c r="A664" s="185" t="s">
        <v>208</v>
      </c>
      <c r="B664" s="185"/>
      <c r="C664" s="148"/>
      <c r="D664" s="165"/>
      <c r="E664" s="29">
        <f>SUM(E648:E656)</f>
        <v>10042.699999999999</v>
      </c>
      <c r="F664" s="29">
        <f>SUM(F648:F656)</f>
        <v>7545.3000000000011</v>
      </c>
      <c r="G664" s="19">
        <f t="shared" ref="G664:W664" si="103">SUM(G648:G656)</f>
        <v>3747910.49</v>
      </c>
      <c r="H664" s="28">
        <f t="shared" si="103"/>
        <v>452048.3</v>
      </c>
      <c r="I664" s="28"/>
      <c r="J664" s="28">
        <f t="shared" si="103"/>
        <v>0</v>
      </c>
      <c r="K664" s="28">
        <f t="shared" si="103"/>
        <v>2502440.19</v>
      </c>
      <c r="L664" s="28"/>
      <c r="M664" s="28">
        <f t="shared" si="103"/>
        <v>591487</v>
      </c>
      <c r="N664" s="28"/>
      <c r="O664" s="28">
        <f t="shared" si="103"/>
        <v>201935</v>
      </c>
      <c r="P664" s="28"/>
      <c r="Q664" s="28">
        <f t="shared" si="103"/>
        <v>0</v>
      </c>
      <c r="R664" s="28"/>
      <c r="S664" s="28">
        <f t="shared" si="103"/>
        <v>0</v>
      </c>
      <c r="T664" s="28">
        <f t="shared" si="103"/>
        <v>0</v>
      </c>
      <c r="U664" s="28">
        <f t="shared" si="103"/>
        <v>0</v>
      </c>
      <c r="V664" s="28">
        <f t="shared" si="103"/>
        <v>3671779.1700000004</v>
      </c>
      <c r="W664" s="19">
        <f t="shared" si="103"/>
        <v>76131.320000000007</v>
      </c>
      <c r="X664" s="20" t="s">
        <v>447</v>
      </c>
      <c r="Y664" s="20" t="s">
        <v>447</v>
      </c>
    </row>
    <row r="665" spans="1:26" s="120" customFormat="1" ht="19.5" customHeight="1">
      <c r="A665" s="185" t="s">
        <v>206</v>
      </c>
      <c r="B665" s="185"/>
      <c r="C665" s="152"/>
      <c r="D665" s="163"/>
      <c r="E665" s="29">
        <f>E657</f>
        <v>3724.2</v>
      </c>
      <c r="F665" s="29">
        <f>F657</f>
        <v>2729.1</v>
      </c>
      <c r="G665" s="19">
        <f t="shared" ref="G665:W665" si="104">G657</f>
        <v>1281085.8799999999</v>
      </c>
      <c r="H665" s="28">
        <f t="shared" si="104"/>
        <v>0</v>
      </c>
      <c r="I665" s="28"/>
      <c r="J665" s="28">
        <f t="shared" si="104"/>
        <v>0</v>
      </c>
      <c r="K665" s="28">
        <f t="shared" si="104"/>
        <v>1281085.8799999999</v>
      </c>
      <c r="L665" s="28"/>
      <c r="M665" s="28">
        <f t="shared" si="104"/>
        <v>0</v>
      </c>
      <c r="N665" s="28"/>
      <c r="O665" s="28">
        <f t="shared" si="104"/>
        <v>0</v>
      </c>
      <c r="P665" s="28"/>
      <c r="Q665" s="28">
        <f t="shared" si="104"/>
        <v>0</v>
      </c>
      <c r="R665" s="28"/>
      <c r="S665" s="28">
        <f t="shared" si="104"/>
        <v>0</v>
      </c>
      <c r="T665" s="28">
        <f t="shared" si="104"/>
        <v>573155.23</v>
      </c>
      <c r="U665" s="28">
        <f t="shared" si="104"/>
        <v>0</v>
      </c>
      <c r="V665" s="28">
        <f t="shared" si="104"/>
        <v>707930.64999999991</v>
      </c>
      <c r="W665" s="19">
        <f t="shared" si="104"/>
        <v>0</v>
      </c>
      <c r="X665" s="163" t="s">
        <v>447</v>
      </c>
      <c r="Y665" s="163" t="s">
        <v>447</v>
      </c>
    </row>
    <row r="666" spans="1:26" s="120" customFormat="1" ht="19.5" customHeight="1">
      <c r="A666" s="185" t="s">
        <v>207</v>
      </c>
      <c r="B666" s="185"/>
      <c r="C666" s="152"/>
      <c r="D666" s="163"/>
      <c r="E666" s="29">
        <f>SUM(E658:E663)</f>
        <v>2812.7</v>
      </c>
      <c r="F666" s="29">
        <f>SUM(F658:F663)</f>
        <v>2125.3000000000002</v>
      </c>
      <c r="G666" s="19">
        <f t="shared" ref="G666:W666" si="105">SUM(G658:G663)</f>
        <v>3792889.7100000004</v>
      </c>
      <c r="H666" s="28">
        <f t="shared" si="105"/>
        <v>1927817.84</v>
      </c>
      <c r="I666" s="28"/>
      <c r="J666" s="28">
        <f t="shared" si="105"/>
        <v>0</v>
      </c>
      <c r="K666" s="28">
        <f t="shared" si="105"/>
        <v>0</v>
      </c>
      <c r="L666" s="28"/>
      <c r="M666" s="28">
        <f t="shared" si="105"/>
        <v>0</v>
      </c>
      <c r="N666" s="28"/>
      <c r="O666" s="28">
        <f t="shared" si="105"/>
        <v>1767589.87</v>
      </c>
      <c r="P666" s="28"/>
      <c r="Q666" s="28">
        <f t="shared" si="105"/>
        <v>62926.979999999996</v>
      </c>
      <c r="R666" s="28"/>
      <c r="S666" s="28">
        <f t="shared" si="105"/>
        <v>34555.020000000004</v>
      </c>
      <c r="T666" s="28">
        <f t="shared" si="105"/>
        <v>0</v>
      </c>
      <c r="U666" s="28">
        <f t="shared" si="105"/>
        <v>0</v>
      </c>
      <c r="V666" s="28">
        <f t="shared" si="105"/>
        <v>0</v>
      </c>
      <c r="W666" s="19">
        <f t="shared" si="105"/>
        <v>3792889.7100000004</v>
      </c>
      <c r="X666" s="20" t="s">
        <v>447</v>
      </c>
      <c r="Y666" s="20" t="s">
        <v>447</v>
      </c>
    </row>
    <row r="667" spans="1:26" s="120" customFormat="1" ht="19.5" customHeight="1">
      <c r="A667" s="185" t="s">
        <v>473</v>
      </c>
      <c r="B667" s="185"/>
      <c r="C667" s="152"/>
      <c r="D667" s="163"/>
      <c r="E667" s="29">
        <f t="shared" ref="E667:W669" si="106">E664</f>
        <v>10042.699999999999</v>
      </c>
      <c r="F667" s="29">
        <f t="shared" si="106"/>
        <v>7545.3000000000011</v>
      </c>
      <c r="G667" s="19">
        <f t="shared" si="106"/>
        <v>3747910.49</v>
      </c>
      <c r="H667" s="28">
        <f t="shared" si="106"/>
        <v>452048.3</v>
      </c>
      <c r="I667" s="28"/>
      <c r="J667" s="28">
        <f t="shared" si="106"/>
        <v>0</v>
      </c>
      <c r="K667" s="28">
        <f t="shared" si="106"/>
        <v>2502440.19</v>
      </c>
      <c r="L667" s="28"/>
      <c r="M667" s="28">
        <f t="shared" si="106"/>
        <v>591487</v>
      </c>
      <c r="N667" s="28"/>
      <c r="O667" s="28">
        <f t="shared" si="106"/>
        <v>201935</v>
      </c>
      <c r="P667" s="28"/>
      <c r="Q667" s="28">
        <f t="shared" si="106"/>
        <v>0</v>
      </c>
      <c r="R667" s="28"/>
      <c r="S667" s="28">
        <f t="shared" si="106"/>
        <v>0</v>
      </c>
      <c r="T667" s="28">
        <f t="shared" si="106"/>
        <v>0</v>
      </c>
      <c r="U667" s="28">
        <f t="shared" si="106"/>
        <v>0</v>
      </c>
      <c r="V667" s="28">
        <f t="shared" si="106"/>
        <v>3671779.1700000004</v>
      </c>
      <c r="W667" s="19">
        <f t="shared" si="106"/>
        <v>76131.320000000007</v>
      </c>
      <c r="X667" s="20" t="s">
        <v>447</v>
      </c>
      <c r="Y667" s="20" t="s">
        <v>447</v>
      </c>
    </row>
    <row r="668" spans="1:26" s="120" customFormat="1" ht="19.5" customHeight="1">
      <c r="A668" s="185" t="s">
        <v>352</v>
      </c>
      <c r="B668" s="185"/>
      <c r="C668" s="152"/>
      <c r="D668" s="163"/>
      <c r="E668" s="29">
        <f t="shared" si="106"/>
        <v>3724.2</v>
      </c>
      <c r="F668" s="29">
        <f t="shared" si="106"/>
        <v>2729.1</v>
      </c>
      <c r="G668" s="19">
        <f t="shared" si="106"/>
        <v>1281085.8799999999</v>
      </c>
      <c r="H668" s="28">
        <f t="shared" si="106"/>
        <v>0</v>
      </c>
      <c r="I668" s="28"/>
      <c r="J668" s="28">
        <f t="shared" si="106"/>
        <v>0</v>
      </c>
      <c r="K668" s="28">
        <f t="shared" si="106"/>
        <v>1281085.8799999999</v>
      </c>
      <c r="L668" s="28"/>
      <c r="M668" s="28">
        <f t="shared" si="106"/>
        <v>0</v>
      </c>
      <c r="N668" s="28"/>
      <c r="O668" s="28">
        <f t="shared" si="106"/>
        <v>0</v>
      </c>
      <c r="P668" s="28"/>
      <c r="Q668" s="28">
        <f t="shared" si="106"/>
        <v>0</v>
      </c>
      <c r="R668" s="28"/>
      <c r="S668" s="28">
        <f t="shared" si="106"/>
        <v>0</v>
      </c>
      <c r="T668" s="28">
        <f t="shared" si="106"/>
        <v>573155.23</v>
      </c>
      <c r="U668" s="28">
        <f t="shared" si="106"/>
        <v>0</v>
      </c>
      <c r="V668" s="28">
        <f t="shared" si="106"/>
        <v>707930.64999999991</v>
      </c>
      <c r="W668" s="19">
        <f t="shared" si="106"/>
        <v>0</v>
      </c>
      <c r="X668" s="163" t="s">
        <v>447</v>
      </c>
      <c r="Y668" s="163" t="s">
        <v>447</v>
      </c>
    </row>
    <row r="669" spans="1:26" s="120" customFormat="1" ht="19.5" customHeight="1">
      <c r="A669" s="185" t="s">
        <v>474</v>
      </c>
      <c r="B669" s="185"/>
      <c r="C669" s="152"/>
      <c r="D669" s="163"/>
      <c r="E669" s="29">
        <f t="shared" si="106"/>
        <v>2812.7</v>
      </c>
      <c r="F669" s="29">
        <f t="shared" si="106"/>
        <v>2125.3000000000002</v>
      </c>
      <c r="G669" s="19">
        <f t="shared" si="106"/>
        <v>3792889.7100000004</v>
      </c>
      <c r="H669" s="28">
        <f t="shared" si="106"/>
        <v>1927817.84</v>
      </c>
      <c r="I669" s="28"/>
      <c r="J669" s="28">
        <f t="shared" si="106"/>
        <v>0</v>
      </c>
      <c r="K669" s="28">
        <f t="shared" si="106"/>
        <v>0</v>
      </c>
      <c r="L669" s="28"/>
      <c r="M669" s="28">
        <f t="shared" si="106"/>
        <v>0</v>
      </c>
      <c r="N669" s="28"/>
      <c r="O669" s="28">
        <f t="shared" si="106"/>
        <v>1767589.87</v>
      </c>
      <c r="P669" s="28"/>
      <c r="Q669" s="28">
        <f t="shared" si="106"/>
        <v>62926.979999999996</v>
      </c>
      <c r="R669" s="28"/>
      <c r="S669" s="28">
        <f t="shared" si="106"/>
        <v>34555.020000000004</v>
      </c>
      <c r="T669" s="28">
        <f t="shared" si="106"/>
        <v>0</v>
      </c>
      <c r="U669" s="28">
        <f t="shared" si="106"/>
        <v>0</v>
      </c>
      <c r="V669" s="28">
        <f t="shared" si="106"/>
        <v>0</v>
      </c>
      <c r="W669" s="19">
        <f t="shared" si="106"/>
        <v>3792889.7100000004</v>
      </c>
      <c r="X669" s="20" t="s">
        <v>447</v>
      </c>
      <c r="Y669" s="20" t="s">
        <v>447</v>
      </c>
    </row>
    <row r="670" spans="1:26" ht="8.25" customHeight="1">
      <c r="A670" s="116"/>
      <c r="B670" s="116"/>
      <c r="C670" s="159"/>
      <c r="D670" s="117"/>
      <c r="E670" s="116"/>
      <c r="F670" s="116"/>
      <c r="G670" s="118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  <c r="T670" s="116"/>
      <c r="U670" s="116"/>
      <c r="V670" s="116"/>
      <c r="W670" s="119"/>
      <c r="X670" s="116"/>
      <c r="Y670" s="116"/>
    </row>
    <row r="671" spans="1:26" ht="20.100000000000001" customHeight="1">
      <c r="A671" s="186" t="s">
        <v>569</v>
      </c>
      <c r="B671" s="186"/>
      <c r="C671" s="186"/>
      <c r="D671" s="186"/>
      <c r="E671" s="186"/>
      <c r="F671" s="186"/>
      <c r="G671" s="186"/>
      <c r="H671" s="186"/>
      <c r="I671" s="186"/>
      <c r="J671" s="186"/>
      <c r="K671" s="186"/>
      <c r="L671" s="186"/>
      <c r="M671" s="186"/>
      <c r="N671" s="186"/>
      <c r="O671" s="186"/>
      <c r="P671" s="186"/>
      <c r="Q671" s="186"/>
      <c r="R671" s="186"/>
      <c r="S671" s="186"/>
      <c r="T671" s="186"/>
      <c r="U671" s="186"/>
      <c r="V671" s="186"/>
      <c r="W671" s="186"/>
      <c r="X671" s="30"/>
      <c r="Y671" s="30"/>
    </row>
    <row r="672" spans="1:26" ht="19.5" customHeight="1">
      <c r="A672" s="182" t="s">
        <v>601</v>
      </c>
      <c r="B672" s="182"/>
      <c r="C672" s="182"/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</row>
    <row r="673" spans="1:25" ht="20.100000000000001" customHeight="1">
      <c r="A673" s="182" t="s">
        <v>589</v>
      </c>
      <c r="B673" s="182"/>
      <c r="C673" s="182"/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04"/>
      <c r="U673" s="104"/>
      <c r="V673" s="104"/>
      <c r="W673" s="105"/>
    </row>
    <row r="674" spans="1:25" ht="20.100000000000001" customHeight="1">
      <c r="A674" s="183" t="s">
        <v>593</v>
      </c>
      <c r="B674" s="183"/>
      <c r="C674" s="183"/>
      <c r="D674" s="183"/>
      <c r="E674" s="183"/>
      <c r="F674" s="183"/>
      <c r="G674" s="183"/>
      <c r="H674" s="183"/>
      <c r="I674" s="183"/>
      <c r="J674" s="183"/>
      <c r="K674" s="183"/>
      <c r="L674" s="167"/>
      <c r="M674" s="104"/>
      <c r="N674" s="104"/>
      <c r="O674" s="104"/>
      <c r="P674" s="104"/>
      <c r="Q674" s="104"/>
      <c r="R674" s="104"/>
      <c r="S674" s="104"/>
      <c r="T674" s="104"/>
      <c r="U674" s="104"/>
      <c r="V674" s="104"/>
      <c r="W674" s="105"/>
    </row>
    <row r="675" spans="1:25" ht="20.100000000000001" customHeight="1">
      <c r="A675" s="184" t="s">
        <v>595</v>
      </c>
      <c r="B675" s="184"/>
      <c r="C675" s="184"/>
      <c r="D675" s="184"/>
      <c r="E675" s="184"/>
      <c r="F675" s="184"/>
      <c r="G675" s="184"/>
      <c r="H675" s="184"/>
      <c r="I675" s="184"/>
      <c r="J675" s="184"/>
      <c r="K675" s="184"/>
    </row>
    <row r="676" spans="1:25" ht="20.100000000000001" customHeight="1">
      <c r="A676" s="184" t="s">
        <v>594</v>
      </c>
      <c r="B676" s="184"/>
      <c r="C676" s="184"/>
      <c r="D676" s="184"/>
      <c r="E676" s="184"/>
      <c r="F676" s="184"/>
      <c r="G676" s="184"/>
      <c r="H676" s="184"/>
      <c r="I676" s="184"/>
      <c r="J676" s="184"/>
      <c r="K676" s="184"/>
      <c r="L676" s="106"/>
      <c r="M676" s="112"/>
      <c r="N676" s="112"/>
      <c r="O676" s="113"/>
      <c r="P676" s="107"/>
      <c r="Q676" s="6"/>
      <c r="R676" s="6"/>
      <c r="S676" s="6"/>
      <c r="T676" s="6"/>
      <c r="U676" s="6"/>
      <c r="V676" s="6"/>
      <c r="W676" s="6"/>
      <c r="X676" s="6"/>
      <c r="Y676" s="6"/>
    </row>
    <row r="677" spans="1:25" ht="20.100000000000001" customHeight="1">
      <c r="A677" s="168"/>
      <c r="B677" s="168"/>
      <c r="C677" s="160"/>
      <c r="D677" s="168"/>
      <c r="E677" s="168"/>
      <c r="F677" s="168"/>
      <c r="G677" s="168"/>
      <c r="H677" s="168"/>
      <c r="I677" s="168"/>
      <c r="J677" s="168"/>
      <c r="K677" s="168"/>
      <c r="L677" s="106"/>
      <c r="M677" s="114"/>
      <c r="N677" s="114"/>
      <c r="O677" s="115"/>
      <c r="P677" s="107"/>
      <c r="Q677" s="6"/>
      <c r="R677" s="6"/>
      <c r="S677" s="6"/>
      <c r="T677" s="6"/>
      <c r="U677" s="6"/>
      <c r="V677" s="6"/>
      <c r="W677" s="6"/>
      <c r="X677" s="6"/>
      <c r="Y677" s="6"/>
    </row>
    <row r="678" spans="1:25" s="10" customFormat="1" ht="20.100000000000001" customHeight="1">
      <c r="B678" s="12" t="s">
        <v>590</v>
      </c>
      <c r="C678" s="145"/>
      <c r="D678" s="11"/>
      <c r="E678" s="108">
        <f>SUM(E15:E17)</f>
        <v>1652790.0600000005</v>
      </c>
      <c r="F678" s="108">
        <f t="shared" ref="F678:W678" si="107">SUM(F15:F17)</f>
        <v>1392688.6899999995</v>
      </c>
      <c r="G678" s="108">
        <f>SUM(G15:G17)</f>
        <v>1521885306.723</v>
      </c>
      <c r="H678" s="108">
        <f t="shared" si="107"/>
        <v>371829923.31999993</v>
      </c>
      <c r="I678" s="108">
        <f t="shared" si="107"/>
        <v>52771.38267445111</v>
      </c>
      <c r="J678" s="108">
        <f t="shared" si="107"/>
        <v>99435394.139999986</v>
      </c>
      <c r="K678" s="108">
        <f t="shared" si="107"/>
        <v>645781460.852</v>
      </c>
      <c r="L678" s="108">
        <f t="shared" si="107"/>
        <v>54064.740299885307</v>
      </c>
      <c r="M678" s="108">
        <f t="shared" si="107"/>
        <v>5857759.2309999997</v>
      </c>
      <c r="N678" s="108">
        <f t="shared" si="107"/>
        <v>624.89646107586282</v>
      </c>
      <c r="O678" s="108">
        <f t="shared" si="107"/>
        <v>385846323.61799997</v>
      </c>
      <c r="P678" s="108">
        <f t="shared" si="107"/>
        <v>17972.46230829713</v>
      </c>
      <c r="Q678" s="108">
        <f t="shared" si="107"/>
        <v>2722445.8019999997</v>
      </c>
      <c r="R678" s="108">
        <f t="shared" si="107"/>
        <v>560.78</v>
      </c>
      <c r="S678" s="108">
        <f t="shared" si="107"/>
        <v>10411999.759999998</v>
      </c>
      <c r="T678" s="108">
        <f t="shared" si="107"/>
        <v>38665533.310000002</v>
      </c>
      <c r="U678" s="108">
        <f t="shared" si="107"/>
        <v>0</v>
      </c>
      <c r="V678" s="108">
        <f t="shared" si="107"/>
        <v>250995676.81599998</v>
      </c>
      <c r="W678" s="108">
        <f t="shared" si="107"/>
        <v>1230467377.5829999</v>
      </c>
      <c r="X678" s="11"/>
      <c r="Y678" s="11"/>
    </row>
    <row r="679" spans="1:25" s="10" customFormat="1" ht="20.100000000000001" customHeight="1">
      <c r="C679" s="145"/>
      <c r="D679" s="11"/>
      <c r="E679" s="12"/>
      <c r="F679" s="12"/>
      <c r="G679" s="1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3"/>
      <c r="X679" s="11"/>
      <c r="Y679" s="11"/>
    </row>
    <row r="680" spans="1:25" s="10" customFormat="1" ht="20.100000000000001" customHeight="1">
      <c r="B680" s="12" t="s">
        <v>591</v>
      </c>
      <c r="C680" s="145"/>
      <c r="D680" s="11"/>
      <c r="E680" s="108">
        <f>SUM('[2]2014-2016'!D$15:D$17)</f>
        <v>1652416.8600000003</v>
      </c>
      <c r="F680" s="108">
        <f>SUM('[2]2014-2016'!E$15:E$17)</f>
        <v>1405870.1099999999</v>
      </c>
      <c r="G680" s="108">
        <f>SUM('[2]2014-2016'!F$15:F$17)</f>
        <v>1461298427.1100001</v>
      </c>
      <c r="H680" s="108">
        <f>SUM('[2]2014-2016'!G$15:G$17)</f>
        <v>368325702.41999996</v>
      </c>
      <c r="I680" s="108">
        <f>SUM('[2]2014-2016'!H$15:H$17)</f>
        <v>38339.837816193816</v>
      </c>
      <c r="J680" s="108">
        <f>SUM('[2]2014-2016'!I$15:I$17)</f>
        <v>100132249.73</v>
      </c>
      <c r="K680" s="108">
        <f>SUM('[2]2014-2016'!J$15:J$17)</f>
        <v>610175722.22999978</v>
      </c>
      <c r="L680" s="108">
        <f>SUM('[2]2014-2016'!K$15:K$17)</f>
        <v>18959.429802865216</v>
      </c>
      <c r="M680" s="108">
        <f>SUM('[2]2014-2016'!L$15:L$17)</f>
        <v>6306501.0399999991</v>
      </c>
      <c r="N680" s="108">
        <f>SUM('[2]2014-2016'!M$15:M$17)</f>
        <v>376.05645801518477</v>
      </c>
      <c r="O680" s="108">
        <f>SUM('[2]2014-2016'!N$15:N$17)</f>
        <v>367271571.02999997</v>
      </c>
      <c r="P680" s="108">
        <f>SUM('[2]2014-2016'!O$15:O$17)</f>
        <v>16033.505494885558</v>
      </c>
      <c r="Q680" s="108">
        <f>SUM('[2]2014-2016'!P$15:P$17)</f>
        <v>2698277.1899999995</v>
      </c>
      <c r="R680" s="108">
        <f>SUM('[2]2014-2016'!Q$15:Q$17)</f>
        <v>328.85739201298543</v>
      </c>
      <c r="S680" s="108">
        <f>SUM('[2]2014-2016'!R$15:R$17)</f>
        <v>6388403.4700000007</v>
      </c>
      <c r="T680" s="108">
        <f>SUM('[2]2014-2016'!S$15:S$17)</f>
        <v>38665533.310000002</v>
      </c>
      <c r="U680" s="108">
        <f>SUM('[2]2014-2016'!T$15:T$17)</f>
        <v>0</v>
      </c>
      <c r="V680" s="108">
        <f>SUM('[2]2014-2016'!U$15:U$17)</f>
        <v>249560510.39000005</v>
      </c>
      <c r="W680" s="108">
        <f>SUM('[2]2014-2016'!V$15:V$17)</f>
        <v>1173072383.4100003</v>
      </c>
      <c r="X680" s="11"/>
      <c r="Y680" s="11"/>
    </row>
    <row r="681" spans="1:25" s="10" customFormat="1" ht="20.100000000000001" customHeight="1">
      <c r="B681" s="12"/>
      <c r="C681" s="145"/>
      <c r="D681" s="11"/>
      <c r="E681" s="12"/>
      <c r="F681" s="12"/>
      <c r="G681" s="1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3"/>
      <c r="X681" s="11"/>
      <c r="Y681" s="11"/>
    </row>
    <row r="682" spans="1:25" s="10" customFormat="1" ht="20.100000000000001" customHeight="1">
      <c r="B682" s="12" t="s">
        <v>592</v>
      </c>
      <c r="C682" s="145"/>
      <c r="D682" s="11"/>
      <c r="E682" s="108">
        <f>E678-E680</f>
        <v>373.20000000018626</v>
      </c>
      <c r="F682" s="108">
        <f t="shared" ref="F682:W682" si="108">F678-F680</f>
        <v>-13181.420000000391</v>
      </c>
      <c r="G682" s="108">
        <f t="shared" si="108"/>
        <v>60586879.612999916</v>
      </c>
      <c r="H682" s="108">
        <f t="shared" si="108"/>
        <v>3504220.8999999762</v>
      </c>
      <c r="I682" s="108">
        <f t="shared" si="108"/>
        <v>14431.544858257294</v>
      </c>
      <c r="J682" s="108">
        <f t="shared" si="108"/>
        <v>-696855.59000001848</v>
      </c>
      <c r="K682" s="108">
        <f t="shared" si="108"/>
        <v>35605738.622000217</v>
      </c>
      <c r="L682" s="108">
        <f t="shared" si="108"/>
        <v>35105.310497020095</v>
      </c>
      <c r="M682" s="108">
        <f t="shared" si="108"/>
        <v>-448741.80899999943</v>
      </c>
      <c r="N682" s="108">
        <f t="shared" si="108"/>
        <v>248.84000306067804</v>
      </c>
      <c r="O682" s="108">
        <f t="shared" si="108"/>
        <v>18574752.588</v>
      </c>
      <c r="P682" s="108">
        <f t="shared" si="108"/>
        <v>1938.9568134115725</v>
      </c>
      <c r="Q682" s="108">
        <f t="shared" si="108"/>
        <v>24168.612000000197</v>
      </c>
      <c r="R682" s="108">
        <f t="shared" si="108"/>
        <v>231.92260798701454</v>
      </c>
      <c r="S682" s="108">
        <f t="shared" si="108"/>
        <v>4023596.2899999972</v>
      </c>
      <c r="T682" s="108">
        <f t="shared" si="108"/>
        <v>0</v>
      </c>
      <c r="U682" s="108">
        <f t="shared" si="108"/>
        <v>0</v>
      </c>
      <c r="V682" s="108">
        <f t="shared" si="108"/>
        <v>1435166.4259999394</v>
      </c>
      <c r="W682" s="108">
        <f t="shared" si="108"/>
        <v>57394994.17299962</v>
      </c>
      <c r="X682" s="11"/>
      <c r="Y682" s="11"/>
    </row>
    <row r="683" spans="1:25" ht="20.100000000000001" customHeight="1">
      <c r="E683" s="109"/>
      <c r="F683" s="109"/>
      <c r="G683" s="110"/>
      <c r="H683" s="6"/>
      <c r="I683" s="6"/>
      <c r="J683" s="111"/>
      <c r="K683" s="111"/>
      <c r="L683" s="111"/>
      <c r="M683" s="111"/>
      <c r="N683" s="6"/>
      <c r="O683" s="6"/>
      <c r="P683" s="6"/>
      <c r="Q683" s="6"/>
      <c r="R683" s="6"/>
      <c r="S683" s="6"/>
      <c r="T683" s="6"/>
      <c r="U683" s="6"/>
      <c r="V683" s="6"/>
      <c r="W683" s="21"/>
    </row>
  </sheetData>
  <sortState ref="B658:Y663">
    <sortCondition ref="B658"/>
  </sortState>
  <mergeCells count="170">
    <mergeCell ref="A669:B669"/>
    <mergeCell ref="A671:W671"/>
    <mergeCell ref="A672:W672"/>
    <mergeCell ref="A673:S673"/>
    <mergeCell ref="A674:K674"/>
    <mergeCell ref="A675:K675"/>
    <mergeCell ref="A676:K676"/>
    <mergeCell ref="A647:W647"/>
    <mergeCell ref="A664:B664"/>
    <mergeCell ref="A665:B665"/>
    <mergeCell ref="A666:B666"/>
    <mergeCell ref="A667:B667"/>
    <mergeCell ref="A668:B668"/>
    <mergeCell ref="A643:B643"/>
    <mergeCell ref="A644:B644"/>
    <mergeCell ref="A645:B645"/>
    <mergeCell ref="A646:W646"/>
    <mergeCell ref="A621:W621"/>
    <mergeCell ref="A640:B640"/>
    <mergeCell ref="A641:B641"/>
    <mergeCell ref="A642:B642"/>
    <mergeCell ref="A605:B605"/>
    <mergeCell ref="A606:W606"/>
    <mergeCell ref="A607:W607"/>
    <mergeCell ref="A618:B618"/>
    <mergeCell ref="A619:B619"/>
    <mergeCell ref="A620:B620"/>
    <mergeCell ref="A596:W596"/>
    <mergeCell ref="A600:B600"/>
    <mergeCell ref="A601:B601"/>
    <mergeCell ref="A602:B602"/>
    <mergeCell ref="A603:B603"/>
    <mergeCell ref="A604:B604"/>
    <mergeCell ref="A584:B584"/>
    <mergeCell ref="A585:W585"/>
    <mergeCell ref="A586:W586"/>
    <mergeCell ref="A593:B593"/>
    <mergeCell ref="A594:B594"/>
    <mergeCell ref="A595:B595"/>
    <mergeCell ref="A576:W576"/>
    <mergeCell ref="A579:B579"/>
    <mergeCell ref="A580:B580"/>
    <mergeCell ref="A581:B581"/>
    <mergeCell ref="A582:B582"/>
    <mergeCell ref="A583:B583"/>
    <mergeCell ref="A565:B565"/>
    <mergeCell ref="A566:B566"/>
    <mergeCell ref="A567:W567"/>
    <mergeCell ref="A573:B573"/>
    <mergeCell ref="A574:B574"/>
    <mergeCell ref="A575:B575"/>
    <mergeCell ref="A548:W548"/>
    <mergeCell ref="A553:B553"/>
    <mergeCell ref="A554:B554"/>
    <mergeCell ref="A555:B555"/>
    <mergeCell ref="A556:W556"/>
    <mergeCell ref="A564:B564"/>
    <mergeCell ref="A541:B541"/>
    <mergeCell ref="A542:B542"/>
    <mergeCell ref="A543:W543"/>
    <mergeCell ref="A545:B545"/>
    <mergeCell ref="A546:B546"/>
    <mergeCell ref="A547:B547"/>
    <mergeCell ref="A522:W522"/>
    <mergeCell ref="A526:B526"/>
    <mergeCell ref="A527:B527"/>
    <mergeCell ref="A528:B528"/>
    <mergeCell ref="A529:W529"/>
    <mergeCell ref="A540:B540"/>
    <mergeCell ref="A515:B515"/>
    <mergeCell ref="A516:W516"/>
    <mergeCell ref="A517:W517"/>
    <mergeCell ref="A519:B519"/>
    <mergeCell ref="A520:B520"/>
    <mergeCell ref="A521:B521"/>
    <mergeCell ref="A512:B512"/>
    <mergeCell ref="A513:B513"/>
    <mergeCell ref="A514:B514"/>
    <mergeCell ref="A465:B465"/>
    <mergeCell ref="A466:B466"/>
    <mergeCell ref="A467:W467"/>
    <mergeCell ref="A473:B473"/>
    <mergeCell ref="A474:B474"/>
    <mergeCell ref="A475:B475"/>
    <mergeCell ref="A476:W476"/>
    <mergeCell ref="A510:B510"/>
    <mergeCell ref="A511:B511"/>
    <mergeCell ref="A393:B393"/>
    <mergeCell ref="A394:B394"/>
    <mergeCell ref="A395:B395"/>
    <mergeCell ref="A396:W396"/>
    <mergeCell ref="A399:B399"/>
    <mergeCell ref="A400:B400"/>
    <mergeCell ref="A383:B383"/>
    <mergeCell ref="A384:W384"/>
    <mergeCell ref="A387:B387"/>
    <mergeCell ref="A388:B388"/>
    <mergeCell ref="A389:B389"/>
    <mergeCell ref="A390:W390"/>
    <mergeCell ref="A327:B327"/>
    <mergeCell ref="A328:B328"/>
    <mergeCell ref="A329:W329"/>
    <mergeCell ref="A381:B381"/>
    <mergeCell ref="A382:B382"/>
    <mergeCell ref="A292:B292"/>
    <mergeCell ref="A293:W293"/>
    <mergeCell ref="A306:B306"/>
    <mergeCell ref="A307:B307"/>
    <mergeCell ref="A308:B308"/>
    <mergeCell ref="A309:W309"/>
    <mergeCell ref="A291:B291"/>
    <mergeCell ref="A57:B57"/>
    <mergeCell ref="A58:W58"/>
    <mergeCell ref="A80:B80"/>
    <mergeCell ref="A81:B81"/>
    <mergeCell ref="A82:B82"/>
    <mergeCell ref="A83:W83"/>
    <mergeCell ref="A326:B326"/>
    <mergeCell ref="A110:B110"/>
    <mergeCell ref="A111:B111"/>
    <mergeCell ref="A112:B112"/>
    <mergeCell ref="A113:W113"/>
    <mergeCell ref="Q1:V1"/>
    <mergeCell ref="Q2:V2"/>
    <mergeCell ref="Q3:V3"/>
    <mergeCell ref="Q4:W4"/>
    <mergeCell ref="Q5:W5"/>
    <mergeCell ref="A6:Y6"/>
    <mergeCell ref="A8:Y8"/>
    <mergeCell ref="A10:A13"/>
    <mergeCell ref="B10:B13"/>
    <mergeCell ref="C10:C13"/>
    <mergeCell ref="E10:E12"/>
    <mergeCell ref="F10:F12"/>
    <mergeCell ref="G10:W10"/>
    <mergeCell ref="X10:X13"/>
    <mergeCell ref="Y10:Y13"/>
    <mergeCell ref="G11:G12"/>
    <mergeCell ref="S11:S12"/>
    <mergeCell ref="T11:W11"/>
    <mergeCell ref="H11:H12"/>
    <mergeCell ref="J11:J12"/>
    <mergeCell ref="D10:D13"/>
    <mergeCell ref="K11:K12"/>
    <mergeCell ref="M11:M12"/>
    <mergeCell ref="O11:O12"/>
    <mergeCell ref="Q11:Q12"/>
    <mergeCell ref="A461:B461"/>
    <mergeCell ref="A462:W462"/>
    <mergeCell ref="A464:B464"/>
    <mergeCell ref="A401:B401"/>
    <mergeCell ref="A402:W402"/>
    <mergeCell ref="A452:B452"/>
    <mergeCell ref="A453:B453"/>
    <mergeCell ref="A454:B454"/>
    <mergeCell ref="A455:W455"/>
    <mergeCell ref="A456:W456"/>
    <mergeCell ref="A459:B459"/>
    <mergeCell ref="A460:B460"/>
    <mergeCell ref="A38:B38"/>
    <mergeCell ref="A39:B39"/>
    <mergeCell ref="A40:B40"/>
    <mergeCell ref="A41:W41"/>
    <mergeCell ref="A55:B55"/>
    <mergeCell ref="A56:B56"/>
    <mergeCell ref="A15:B15"/>
    <mergeCell ref="A16:B16"/>
    <mergeCell ref="A17:B17"/>
    <mergeCell ref="A18:W18"/>
    <mergeCell ref="A290:B290"/>
  </mergeCells>
  <printOptions horizontalCentered="1"/>
  <pageMargins left="0.31496062992125984" right="0.31496062992125984" top="0.6692913385826772" bottom="0.51181102362204722" header="0.31496062992125984" footer="0.31496062992125984"/>
  <pageSetup paperSize="9" scale="36" fitToHeight="12" orientation="landscape" horizontalDpi="300" verticalDpi="300" r:id="rId1"/>
  <headerFooter differentFirst="1">
    <oddHeader>&amp;C&amp;16&amp;P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2014-2016</vt:lpstr>
      <vt:lpstr>'2014-2016'!Заголовки_для_печати</vt:lpstr>
      <vt:lpstr>'2014-2016'!Область_печати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nijelskaya</cp:lastModifiedBy>
  <cp:lastPrinted>2016-12-08T14:23:58Z</cp:lastPrinted>
  <dcterms:created xsi:type="dcterms:W3CDTF">2014-06-03T05:55:59Z</dcterms:created>
  <dcterms:modified xsi:type="dcterms:W3CDTF">2016-12-09T12:48:43Z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gDocId">
    <vt:lpwstr>{E37A67BA-C33F-4122-B52A-F213E0F4BD11}</vt:lpwstr>
  </property>
  <property fmtid="{D5CDD505-2E9C-101B-9397-08002B2CF9AE}" pid="3" name="#RegDocId">
    <vt:lpwstr>Вн. Постановление Правительства № Вр-1994117 от 01.08.2016</vt:lpwstr>
  </property>
  <property fmtid="{D5CDD505-2E9C-101B-9397-08002B2CF9AE}" pid="4" name="FileDocId">
    <vt:lpwstr>{2ACB7498-8F5E-4AD6-991B-BC3782B795F0}</vt:lpwstr>
  </property>
  <property fmtid="{D5CDD505-2E9C-101B-9397-08002B2CF9AE}" pid="5" name="#FileDocId">
    <vt:lpwstr>Файл: 2016.07.01 Приложение к ППМО о КП на 2014-2016.xlsx</vt:lpwstr>
  </property>
  <property fmtid="{D5CDD505-2E9C-101B-9397-08002B2CF9AE}" pid="6" name="Дайждест">
    <vt:lpwstr>Вн. Постановление Правительства № 85-ПП от 29.02.2016</vt:lpwstr>
  </property>
  <property fmtid="{D5CDD505-2E9C-101B-9397-08002B2CF9AE}" pid="7" name="Содержание">
    <vt:lpwstr>О ВНЕСЕНИИ ИЗМЕНЕНИЙ В ПОСТАНОВЛЕНИЕ ПРАВИТЕЛЬСТВА МУРМАНСКОЙ ОБЛАСТИ ОТ 27.06.2014 № 325-ПП/9</vt:lpwstr>
  </property>
  <property fmtid="{D5CDD505-2E9C-101B-9397-08002B2CF9AE}" pid="8" name="Вид_документа">
    <vt:lpwstr>Постановление Правительства</vt:lpwstr>
  </property>
  <property fmtid="{D5CDD505-2E9C-101B-9397-08002B2CF9AE}" pid="9" name="Отправитель_ФИО">
    <vt:lpwstr>Ковтун М.В.</vt:lpwstr>
  </property>
  <property fmtid="{D5CDD505-2E9C-101B-9397-08002B2CF9AE}" pid="10" name="Отправитель_Фамилия">
    <vt:lpwstr>Ковтун</vt:lpwstr>
  </property>
  <property fmtid="{D5CDD505-2E9C-101B-9397-08002B2CF9AE}" pid="11" name="Отправитель_Имя">
    <vt:lpwstr>Марина</vt:lpwstr>
  </property>
  <property fmtid="{D5CDD505-2E9C-101B-9397-08002B2CF9AE}" pid="12" name="Отправитель_Отчество">
    <vt:lpwstr>Васильевна</vt:lpwstr>
  </property>
  <property fmtid="{D5CDD505-2E9C-101B-9397-08002B2CF9AE}" pid="13" name="Отправитель_Фамилия_род">
    <vt:lpwstr>Ковтун</vt:lpwstr>
  </property>
  <property fmtid="{D5CDD505-2E9C-101B-9397-08002B2CF9AE}" pid="14" name="Отправитель_Фамилия_дат">
    <vt:lpwstr>Ковтун</vt:lpwstr>
  </property>
  <property fmtid="{D5CDD505-2E9C-101B-9397-08002B2CF9AE}" pid="15" name="Отправитель_Инициалы">
    <vt:lpwstr>М.В.</vt:lpwstr>
  </property>
  <property fmtid="{D5CDD505-2E9C-101B-9397-08002B2CF9AE}" pid="16" name="Отправитель_Должность">
    <vt:lpwstr>Губернатор</vt:lpwstr>
  </property>
  <property fmtid="{D5CDD505-2E9C-101B-9397-08002B2CF9AE}" pid="17" name="Отправитель_Должность_род">
    <vt:lpwstr>Губернатор</vt:lpwstr>
  </property>
  <property fmtid="{D5CDD505-2E9C-101B-9397-08002B2CF9AE}" pid="18" name="Отправитель_Должность_дат">
    <vt:lpwstr>Губернатор</vt:lpwstr>
  </property>
  <property fmtid="{D5CDD505-2E9C-101B-9397-08002B2CF9AE}" pid="19" name="Отправитель_Подразделение">
    <vt:lpwstr>Приемная Губернатора</vt:lpwstr>
  </property>
  <property fmtid="{D5CDD505-2E9C-101B-9397-08002B2CF9AE}" pid="20" name="Отправитель_Телефон">
    <vt:lpwstr>486-201</vt:lpwstr>
  </property>
  <property fmtid="{D5CDD505-2E9C-101B-9397-08002B2CF9AE}" pid="21" name="Исполнитель_ФИО">
    <vt:lpwstr>Трушкова В.В.</vt:lpwstr>
  </property>
  <property fmtid="{D5CDD505-2E9C-101B-9397-08002B2CF9AE}" pid="22" name="Исполнитель_Фамилия">
    <vt:lpwstr>Трушкова</vt:lpwstr>
  </property>
  <property fmtid="{D5CDD505-2E9C-101B-9397-08002B2CF9AE}" pid="23" name="Исполнитель_Имя">
    <vt:lpwstr>Вероника</vt:lpwstr>
  </property>
  <property fmtid="{D5CDD505-2E9C-101B-9397-08002B2CF9AE}" pid="24" name="Исполнитель_Отчество">
    <vt:lpwstr>Владимировна</vt:lpwstr>
  </property>
  <property fmtid="{D5CDD505-2E9C-101B-9397-08002B2CF9AE}" pid="25" name="Исполнитель_Фамилия_род">
    <vt:lpwstr>Трушковой</vt:lpwstr>
  </property>
  <property fmtid="{D5CDD505-2E9C-101B-9397-08002B2CF9AE}" pid="26" name="Исполнитель_Фамилия_дат">
    <vt:lpwstr>Трушковой</vt:lpwstr>
  </property>
  <property fmtid="{D5CDD505-2E9C-101B-9397-08002B2CF9AE}" pid="27" name="Исполнитель_Инициалы">
    <vt:lpwstr>В.В.</vt:lpwstr>
  </property>
  <property fmtid="{D5CDD505-2E9C-101B-9397-08002B2CF9AE}" pid="28" name="Исполнитель_Должность">
    <vt:lpwstr>Заместитель руководителя подразделения ИОГВ</vt:lpwstr>
  </property>
  <property fmtid="{D5CDD505-2E9C-101B-9397-08002B2CF9AE}" pid="29" name="Исполнитель_Должность_род">
    <vt:lpwstr>Заместитель руководителя подразделения ИОГВ</vt:lpwstr>
  </property>
  <property fmtid="{D5CDD505-2E9C-101B-9397-08002B2CF9AE}" pid="30" name="Исполнитель_Должность_дат">
    <vt:lpwstr>Заместитель руководителя подразделения ИОГВ</vt:lpwstr>
  </property>
  <property fmtid="{D5CDD505-2E9C-101B-9397-08002B2CF9AE}" pid="31" name="Исполнитель_Подразделение">
    <vt:lpwstr>21-02 Управление формирования и реализации политики в области энергетики и жилищно-коммунального комплекса</vt:lpwstr>
  </property>
  <property fmtid="{D5CDD505-2E9C-101B-9397-08002B2CF9AE}" pid="32" name="Исполнитель_Телефон">
    <vt:lpwstr>486-761</vt:lpwstr>
  </property>
  <property fmtid="{D5CDD505-2E9C-101B-9397-08002B2CF9AE}" pid="33" name="Регистрационный_номер">
    <vt:lpwstr>85-ПП</vt:lpwstr>
  </property>
  <property fmtid="{D5CDD505-2E9C-101B-9397-08002B2CF9AE}" pid="34" name="Дата_регистрации">
    <vt:filetime>2016-08-01T16:04:36Z</vt:filetime>
  </property>
  <property fmtid="{D5CDD505-2E9C-101B-9397-08002B2CF9AE}" pid="35" name="Получатель_ФИО">
    <vt:lpwstr>Гноевский В.Н.</vt:lpwstr>
  </property>
  <property fmtid="{D5CDD505-2E9C-101B-9397-08002B2CF9AE}" pid="36" name="Получатель_Фамилия">
    <vt:lpwstr>Гноевский</vt:lpwstr>
  </property>
  <property fmtid="{D5CDD505-2E9C-101B-9397-08002B2CF9AE}" pid="37" name="Получатель_Имя">
    <vt:lpwstr>Владимир</vt:lpwstr>
  </property>
  <property fmtid="{D5CDD505-2E9C-101B-9397-08002B2CF9AE}" pid="38" name="Получатель_Отчество">
    <vt:lpwstr>Николаевич</vt:lpwstr>
  </property>
  <property fmtid="{D5CDD505-2E9C-101B-9397-08002B2CF9AE}" pid="39" name="Получатель_Фамилия_род">
    <vt:lpwstr>Гноевского</vt:lpwstr>
  </property>
  <property fmtid="{D5CDD505-2E9C-101B-9397-08002B2CF9AE}" pid="40" name="Получатель_Фамилия_дат">
    <vt:lpwstr>Гноевскому</vt:lpwstr>
  </property>
  <property fmtid="{D5CDD505-2E9C-101B-9397-08002B2CF9AE}" pid="41" name="Получатель_Инициалы">
    <vt:lpwstr>В.Н.</vt:lpwstr>
  </property>
  <property fmtid="{D5CDD505-2E9C-101B-9397-08002B2CF9AE}" pid="42" name="Получатель_Должность">
    <vt:lpwstr>Министр</vt:lpwstr>
  </property>
  <property fmtid="{D5CDD505-2E9C-101B-9397-08002B2CF9AE}" pid="43" name="Получатель_Должность_род">
    <vt:lpwstr>Министр</vt:lpwstr>
  </property>
  <property fmtid="{D5CDD505-2E9C-101B-9397-08002B2CF9AE}" pid="44" name="Получатель_Должность_дат">
    <vt:lpwstr>Министр</vt:lpwstr>
  </property>
  <property fmtid="{D5CDD505-2E9C-101B-9397-08002B2CF9AE}" pid="45" name="Получатель_Подразделение">
    <vt:lpwstr>21-01 Руководство Министерства энергетики и жилищно-коммунального хозяйства Мурманской области</vt:lpwstr>
  </property>
  <property fmtid="{D5CDD505-2E9C-101B-9397-08002B2CF9AE}" pid="46" name="Получатель_Телефон">
    <vt:lpwstr>486-733</vt:lpwstr>
  </property>
</Properties>
</file>