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9975"/>
  </bookViews>
  <sheets>
    <sheet name="2017" sheetId="10" r:id="rId1"/>
  </sheets>
  <externalReferences>
    <externalReference r:id="rId2"/>
    <externalReference r:id="rId3"/>
  </externalReferences>
  <definedNames>
    <definedName name="_xlnm.Print_Titles" localSheetId="0">'2017'!$10:$14</definedName>
    <definedName name="_xlnm.Print_Area" localSheetId="0">'2017'!$A$1:$U$459</definedName>
    <definedName name="стены">[1]Справочники!$A$201:$A$223</definedName>
  </definedNames>
  <calcPr calcId="125725"/>
</workbook>
</file>

<file path=xl/calcChain.xml><?xml version="1.0" encoding="utf-8"?>
<calcChain xmlns="http://schemas.openxmlformats.org/spreadsheetml/2006/main">
  <c r="V198" i="10"/>
  <c r="W198"/>
  <c r="X198"/>
  <c r="X263"/>
  <c r="X264"/>
  <c r="X250"/>
  <c r="X258"/>
  <c r="X259"/>
  <c r="X244"/>
  <c r="X247"/>
  <c r="X251"/>
  <c r="X248"/>
  <c r="X256"/>
  <c r="X246"/>
  <c r="X384"/>
  <c r="Y384"/>
  <c r="X385"/>
  <c r="X394"/>
  <c r="X395"/>
  <c r="X396"/>
  <c r="M309" l="1"/>
  <c r="M222"/>
  <c r="K222"/>
  <c r="N218"/>
  <c r="M218"/>
  <c r="L203"/>
  <c r="I203"/>
  <c r="I155"/>
  <c r="K139"/>
  <c r="I139"/>
  <c r="M58"/>
  <c r="I58"/>
  <c r="M217" l="1"/>
  <c r="K276"/>
  <c r="H276" l="1"/>
  <c r="S276" s="1"/>
  <c r="I69"/>
  <c r="I305"/>
  <c r="I304"/>
  <c r="I308"/>
  <c r="I307"/>
  <c r="I287"/>
  <c r="I286"/>
  <c r="I289"/>
  <c r="I290"/>
  <c r="I292"/>
  <c r="I291"/>
  <c r="I301"/>
  <c r="I302"/>
  <c r="I284"/>
  <c r="I282"/>
  <c r="R444" l="1"/>
  <c r="Q444"/>
  <c r="P444"/>
  <c r="K298" l="1"/>
  <c r="L442" l="1"/>
  <c r="L444" s="1"/>
  <c r="I441"/>
  <c r="I443"/>
  <c r="J444"/>
  <c r="K444"/>
  <c r="M444"/>
  <c r="N444"/>
  <c r="O444"/>
  <c r="K449"/>
  <c r="K448"/>
  <c r="K447"/>
  <c r="I438"/>
  <c r="I437"/>
  <c r="I428"/>
  <c r="I427"/>
  <c r="M426"/>
  <c r="I432"/>
  <c r="M434"/>
  <c r="I422"/>
  <c r="I424"/>
  <c r="I435"/>
  <c r="N425"/>
  <c r="M423"/>
  <c r="K429"/>
  <c r="N433"/>
  <c r="I431"/>
  <c r="I421"/>
  <c r="I436"/>
  <c r="I430"/>
  <c r="I402"/>
  <c r="I417"/>
  <c r="I416"/>
  <c r="I414"/>
  <c r="I413"/>
  <c r="I415"/>
  <c r="I412"/>
  <c r="I411"/>
  <c r="I409"/>
  <c r="I410"/>
  <c r="I408"/>
  <c r="I407"/>
  <c r="I405"/>
  <c r="I404"/>
  <c r="I406"/>
  <c r="I403"/>
  <c r="I401"/>
  <c r="K396"/>
  <c r="M395"/>
  <c r="K395"/>
  <c r="I395"/>
  <c r="M394"/>
  <c r="K394"/>
  <c r="I394"/>
  <c r="I390"/>
  <c r="N391"/>
  <c r="M391"/>
  <c r="K391"/>
  <c r="I391"/>
  <c r="K385"/>
  <c r="K384"/>
  <c r="M381"/>
  <c r="K378"/>
  <c r="K371"/>
  <c r="K375"/>
  <c r="K372"/>
  <c r="K373"/>
  <c r="I368"/>
  <c r="I365"/>
  <c r="I363"/>
  <c r="I367"/>
  <c r="I366"/>
  <c r="K360"/>
  <c r="K359"/>
  <c r="K349"/>
  <c r="K355"/>
  <c r="K354"/>
  <c r="K356"/>
  <c r="M353"/>
  <c r="M352"/>
  <c r="M350"/>
  <c r="M351"/>
  <c r="K351"/>
  <c r="I351"/>
  <c r="K346"/>
  <c r="K345"/>
  <c r="K342"/>
  <c r="K336"/>
  <c r="M332"/>
  <c r="K328"/>
  <c r="M331"/>
  <c r="K331"/>
  <c r="K330"/>
  <c r="K329"/>
  <c r="K333"/>
  <c r="K335"/>
  <c r="M334"/>
  <c r="K334"/>
  <c r="I334"/>
  <c r="I337"/>
  <c r="I323"/>
  <c r="K325"/>
  <c r="K321"/>
  <c r="K324"/>
  <c r="K320"/>
  <c r="K322"/>
  <c r="K317"/>
  <c r="M316"/>
  <c r="K296"/>
  <c r="M288"/>
  <c r="I311"/>
  <c r="I312"/>
  <c r="K306"/>
  <c r="M293"/>
  <c r="I310"/>
  <c r="I294"/>
  <c r="M292"/>
  <c r="M279"/>
  <c r="K272"/>
  <c r="I271"/>
  <c r="K260"/>
  <c r="M238"/>
  <c r="M241"/>
  <c r="M240"/>
  <c r="M235"/>
  <c r="M234"/>
  <c r="M233"/>
  <c r="K237"/>
  <c r="M231"/>
  <c r="K232"/>
  <c r="K230"/>
  <c r="K239"/>
  <c r="K236"/>
  <c r="I246"/>
  <c r="I256"/>
  <c r="I248"/>
  <c r="I251"/>
  <c r="I247"/>
  <c r="I244"/>
  <c r="I259"/>
  <c r="I258"/>
  <c r="I250"/>
  <c r="K257"/>
  <c r="K252"/>
  <c r="K242"/>
  <c r="K243"/>
  <c r="K255"/>
  <c r="K254"/>
  <c r="M245"/>
  <c r="M249"/>
  <c r="I268"/>
  <c r="I264"/>
  <c r="I263"/>
  <c r="M266"/>
  <c r="M262"/>
  <c r="M265"/>
  <c r="K261"/>
  <c r="M267"/>
  <c r="I212"/>
  <c r="I221"/>
  <c r="I224"/>
  <c r="I223"/>
  <c r="K226"/>
  <c r="K227"/>
  <c r="K225"/>
  <c r="K220"/>
  <c r="K219"/>
  <c r="N214"/>
  <c r="K213"/>
  <c r="K202"/>
  <c r="I202"/>
  <c r="K207"/>
  <c r="I207"/>
  <c r="M209"/>
  <c r="I209"/>
  <c r="K205"/>
  <c r="K206"/>
  <c r="I206"/>
  <c r="K204"/>
  <c r="I204"/>
  <c r="K191"/>
  <c r="M199"/>
  <c r="I199"/>
  <c r="K197"/>
  <c r="K196"/>
  <c r="K195"/>
  <c r="M194"/>
  <c r="K194"/>
  <c r="I193"/>
  <c r="I192"/>
  <c r="K190"/>
  <c r="I189"/>
  <c r="K188"/>
  <c r="I188"/>
  <c r="N187"/>
  <c r="I186"/>
  <c r="I185"/>
  <c r="K184"/>
  <c r="M182"/>
  <c r="K182"/>
  <c r="I182"/>
  <c r="I181"/>
  <c r="I180"/>
  <c r="I179"/>
  <c r="I178"/>
  <c r="M177"/>
  <c r="I176"/>
  <c r="I175"/>
  <c r="I174"/>
  <c r="I173"/>
  <c r="I172"/>
  <c r="I171"/>
  <c r="I170"/>
  <c r="K169"/>
  <c r="M168"/>
  <c r="M167"/>
  <c r="I166"/>
  <c r="I164"/>
  <c r="I163"/>
  <c r="I162"/>
  <c r="I161"/>
  <c r="I160"/>
  <c r="K159"/>
  <c r="K158"/>
  <c r="K157"/>
  <c r="K156"/>
  <c r="K154"/>
  <c r="I154"/>
  <c r="I153"/>
  <c r="I152"/>
  <c r="I151"/>
  <c r="K150"/>
  <c r="I150"/>
  <c r="I149"/>
  <c r="I148"/>
  <c r="M147"/>
  <c r="K147"/>
  <c r="M146"/>
  <c r="M145"/>
  <c r="M144"/>
  <c r="K143"/>
  <c r="K142"/>
  <c r="I140"/>
  <c r="M138"/>
  <c r="K137"/>
  <c r="I136"/>
  <c r="I135"/>
  <c r="I134" l="1"/>
  <c r="K133"/>
  <c r="I132"/>
  <c r="K131"/>
  <c r="I130"/>
  <c r="M129"/>
  <c r="I129"/>
  <c r="M128"/>
  <c r="K127"/>
  <c r="K126"/>
  <c r="K125"/>
  <c r="K124"/>
  <c r="K123"/>
  <c r="I121"/>
  <c r="I120"/>
  <c r="I119"/>
  <c r="K117"/>
  <c r="K116"/>
  <c r="M115"/>
  <c r="K115"/>
  <c r="I115"/>
  <c r="M114"/>
  <c r="K112"/>
  <c r="M110"/>
  <c r="K110"/>
  <c r="I109"/>
  <c r="I108"/>
  <c r="K106"/>
  <c r="K105"/>
  <c r="K104"/>
  <c r="K103"/>
  <c r="K102"/>
  <c r="I101"/>
  <c r="K100"/>
  <c r="I100"/>
  <c r="K99"/>
  <c r="K98"/>
  <c r="I98"/>
  <c r="I97"/>
  <c r="K96"/>
  <c r="I96"/>
  <c r="K95"/>
  <c r="I95"/>
  <c r="K94"/>
  <c r="K93"/>
  <c r="K92"/>
  <c r="I91"/>
  <c r="M90"/>
  <c r="K90"/>
  <c r="I89"/>
  <c r="I88"/>
  <c r="I87"/>
  <c r="I86"/>
  <c r="I85"/>
  <c r="K84"/>
  <c r="I81"/>
  <c r="I80"/>
  <c r="I78"/>
  <c r="K77"/>
  <c r="I76"/>
  <c r="I75"/>
  <c r="I73"/>
  <c r="K72"/>
  <c r="I68"/>
  <c r="I67"/>
  <c r="M66"/>
  <c r="I65"/>
  <c r="I64"/>
  <c r="I63"/>
  <c r="K60"/>
  <c r="I60"/>
  <c r="K53"/>
  <c r="I53"/>
  <c r="K54"/>
  <c r="I54"/>
  <c r="K56"/>
  <c r="I56"/>
  <c r="K55"/>
  <c r="I55"/>
  <c r="K48"/>
  <c r="K57"/>
  <c r="I57"/>
  <c r="K52"/>
  <c r="I52"/>
  <c r="M59"/>
  <c r="K59"/>
  <c r="I59"/>
  <c r="I49"/>
  <c r="M49"/>
  <c r="K49"/>
  <c r="K45"/>
  <c r="I45"/>
  <c r="M44"/>
  <c r="M43"/>
  <c r="M42"/>
  <c r="K41"/>
  <c r="M40"/>
  <c r="K31"/>
  <c r="I37"/>
  <c r="K33"/>
  <c r="K35"/>
  <c r="K32"/>
  <c r="K34"/>
  <c r="M20"/>
  <c r="K20"/>
  <c r="K25"/>
  <c r="I25"/>
  <c r="K17"/>
  <c r="I17"/>
  <c r="K28"/>
  <c r="I28"/>
  <c r="M27"/>
  <c r="K27"/>
  <c r="I27"/>
  <c r="M26"/>
  <c r="K26"/>
  <c r="I26"/>
  <c r="M24"/>
  <c r="K24"/>
  <c r="I24"/>
  <c r="M23"/>
  <c r="K23"/>
  <c r="I23"/>
  <c r="M22"/>
  <c r="K22"/>
  <c r="I22"/>
  <c r="K21"/>
  <c r="I21"/>
  <c r="M18"/>
  <c r="K18"/>
  <c r="I18"/>
  <c r="M19"/>
  <c r="K19"/>
  <c r="I19"/>
  <c r="R457"/>
  <c r="S457" s="1"/>
  <c r="Q457"/>
  <c r="P457"/>
  <c r="M457" s="1"/>
  <c r="R456"/>
  <c r="S456" s="1"/>
  <c r="Q456"/>
  <c r="P456"/>
  <c r="M456" s="1"/>
  <c r="R450"/>
  <c r="R451" s="1"/>
  <c r="Q450"/>
  <c r="Q451" s="1"/>
  <c r="P450"/>
  <c r="P451" s="1"/>
  <c r="O450"/>
  <c r="O451" s="1"/>
  <c r="N450"/>
  <c r="N451" s="1"/>
  <c r="M450"/>
  <c r="M451" s="1"/>
  <c r="L450"/>
  <c r="L451" s="1"/>
  <c r="J450"/>
  <c r="J451" s="1"/>
  <c r="I450"/>
  <c r="I451" s="1"/>
  <c r="G450"/>
  <c r="G451" s="1"/>
  <c r="F450"/>
  <c r="F451" s="1"/>
  <c r="H449"/>
  <c r="G444"/>
  <c r="F444"/>
  <c r="E444"/>
  <c r="H442"/>
  <c r="H441"/>
  <c r="R439"/>
  <c r="Q439"/>
  <c r="P439"/>
  <c r="O439"/>
  <c r="L439"/>
  <c r="J439"/>
  <c r="G439"/>
  <c r="F439"/>
  <c r="H437"/>
  <c r="K439"/>
  <c r="H431"/>
  <c r="H436"/>
  <c r="R419"/>
  <c r="R445" s="1"/>
  <c r="Q419"/>
  <c r="Q445" s="1"/>
  <c r="P419"/>
  <c r="P445" s="1"/>
  <c r="O419"/>
  <c r="O445" s="1"/>
  <c r="N419"/>
  <c r="M419"/>
  <c r="L419"/>
  <c r="L445" s="1"/>
  <c r="K419"/>
  <c r="G419"/>
  <c r="G445" s="1"/>
  <c r="F419"/>
  <c r="J418"/>
  <c r="H418" s="1"/>
  <c r="S418" s="1"/>
  <c r="H415"/>
  <c r="H411"/>
  <c r="H409"/>
  <c r="H410"/>
  <c r="H407"/>
  <c r="H405"/>
  <c r="H404"/>
  <c r="H403"/>
  <c r="H401"/>
  <c r="R397"/>
  <c r="Q397"/>
  <c r="P397"/>
  <c r="O397"/>
  <c r="N397"/>
  <c r="L397"/>
  <c r="J397"/>
  <c r="G397"/>
  <c r="F397"/>
  <c r="K397"/>
  <c r="I397"/>
  <c r="R392"/>
  <c r="Q392"/>
  <c r="P392"/>
  <c r="P398" s="1"/>
  <c r="O392"/>
  <c r="L392"/>
  <c r="J392"/>
  <c r="G392"/>
  <c r="F392"/>
  <c r="N392"/>
  <c r="M392"/>
  <c r="K392"/>
  <c r="I392"/>
  <c r="R386"/>
  <c r="Q386"/>
  <c r="P386"/>
  <c r="O386"/>
  <c r="N386"/>
  <c r="M386"/>
  <c r="L386"/>
  <c r="J386"/>
  <c r="I386"/>
  <c r="G386"/>
  <c r="F386"/>
  <c r="H385"/>
  <c r="K386"/>
  <c r="R382"/>
  <c r="Q382"/>
  <c r="P382"/>
  <c r="O382"/>
  <c r="N382"/>
  <c r="L382"/>
  <c r="K382"/>
  <c r="J382"/>
  <c r="I382"/>
  <c r="G382"/>
  <c r="F382"/>
  <c r="M382"/>
  <c r="R379"/>
  <c r="Q379"/>
  <c r="P379"/>
  <c r="O379"/>
  <c r="N379"/>
  <c r="M379"/>
  <c r="L379"/>
  <c r="J379"/>
  <c r="I379"/>
  <c r="G379"/>
  <c r="F379"/>
  <c r="K379"/>
  <c r="R376"/>
  <c r="Q376"/>
  <c r="P376"/>
  <c r="O376"/>
  <c r="N376"/>
  <c r="M376"/>
  <c r="L376"/>
  <c r="J376"/>
  <c r="I376"/>
  <c r="G376"/>
  <c r="F376"/>
  <c r="H373"/>
  <c r="H374"/>
  <c r="R369"/>
  <c r="Q369"/>
  <c r="P369"/>
  <c r="O369"/>
  <c r="N369"/>
  <c r="M369"/>
  <c r="L369"/>
  <c r="K369"/>
  <c r="J369"/>
  <c r="G369"/>
  <c r="F369"/>
  <c r="H368"/>
  <c r="H365"/>
  <c r="H364"/>
  <c r="S364" s="1"/>
  <c r="H363"/>
  <c r="H367"/>
  <c r="R361"/>
  <c r="Q361"/>
  <c r="P361"/>
  <c r="O361"/>
  <c r="N361"/>
  <c r="M361"/>
  <c r="L361"/>
  <c r="J361"/>
  <c r="I361"/>
  <c r="G361"/>
  <c r="F361"/>
  <c r="R357"/>
  <c r="Q357"/>
  <c r="P357"/>
  <c r="O357"/>
  <c r="N357"/>
  <c r="L357"/>
  <c r="J357"/>
  <c r="G357"/>
  <c r="F357"/>
  <c r="I357"/>
  <c r="R347"/>
  <c r="Q347"/>
  <c r="P347"/>
  <c r="O347"/>
  <c r="N347"/>
  <c r="M347"/>
  <c r="L347"/>
  <c r="J347"/>
  <c r="I347"/>
  <c r="G347"/>
  <c r="F347"/>
  <c r="R343"/>
  <c r="Q343"/>
  <c r="P343"/>
  <c r="O343"/>
  <c r="N343"/>
  <c r="M343"/>
  <c r="L343"/>
  <c r="J343"/>
  <c r="I343"/>
  <c r="G343"/>
  <c r="F343"/>
  <c r="K343"/>
  <c r="R338"/>
  <c r="Q338"/>
  <c r="P338"/>
  <c r="O338"/>
  <c r="N338"/>
  <c r="L338"/>
  <c r="J338"/>
  <c r="G338"/>
  <c r="F338"/>
  <c r="H336"/>
  <c r="H332"/>
  <c r="H329"/>
  <c r="H333"/>
  <c r="M338"/>
  <c r="K338"/>
  <c r="R326"/>
  <c r="Q326"/>
  <c r="P326"/>
  <c r="O326"/>
  <c r="N326"/>
  <c r="M326"/>
  <c r="L326"/>
  <c r="J326"/>
  <c r="G326"/>
  <c r="F326"/>
  <c r="I326"/>
  <c r="R318"/>
  <c r="Q318"/>
  <c r="P318"/>
  <c r="O318"/>
  <c r="N318"/>
  <c r="L318"/>
  <c r="J318"/>
  <c r="I318"/>
  <c r="G318"/>
  <c r="F318"/>
  <c r="K318"/>
  <c r="R313"/>
  <c r="Q313"/>
  <c r="P313"/>
  <c r="O313"/>
  <c r="L313"/>
  <c r="G313"/>
  <c r="F313"/>
  <c r="I295"/>
  <c r="N299"/>
  <c r="N313" s="1"/>
  <c r="I299"/>
  <c r="I297"/>
  <c r="H297" s="1"/>
  <c r="H296"/>
  <c r="H308"/>
  <c r="H290"/>
  <c r="M313"/>
  <c r="J285"/>
  <c r="H285" s="1"/>
  <c r="S285" s="1"/>
  <c r="J283"/>
  <c r="H283" s="1"/>
  <c r="S283" s="1"/>
  <c r="J300"/>
  <c r="H300" s="1"/>
  <c r="S300" s="1"/>
  <c r="J303"/>
  <c r="R280"/>
  <c r="Q280"/>
  <c r="P280"/>
  <c r="O280"/>
  <c r="N280"/>
  <c r="L280"/>
  <c r="K280"/>
  <c r="J280"/>
  <c r="I280"/>
  <c r="G280"/>
  <c r="F280"/>
  <c r="M280"/>
  <c r="R277"/>
  <c r="Q277"/>
  <c r="P277"/>
  <c r="O277"/>
  <c r="N277"/>
  <c r="M277"/>
  <c r="L277"/>
  <c r="J277"/>
  <c r="I277"/>
  <c r="G277"/>
  <c r="F277"/>
  <c r="K277"/>
  <c r="H275"/>
  <c r="S275" s="1"/>
  <c r="R273"/>
  <c r="Q273"/>
  <c r="P273"/>
  <c r="O273"/>
  <c r="N273"/>
  <c r="M273"/>
  <c r="L273"/>
  <c r="J273"/>
  <c r="G273"/>
  <c r="F273"/>
  <c r="I273"/>
  <c r="R269"/>
  <c r="Q269"/>
  <c r="P269"/>
  <c r="O269"/>
  <c r="N269"/>
  <c r="L269"/>
  <c r="K269"/>
  <c r="J269"/>
  <c r="F269"/>
  <c r="H260"/>
  <c r="H238"/>
  <c r="G238"/>
  <c r="H241"/>
  <c r="H240"/>
  <c r="G240"/>
  <c r="H235"/>
  <c r="H234"/>
  <c r="H233"/>
  <c r="H237"/>
  <c r="H231"/>
  <c r="G231"/>
  <c r="H232"/>
  <c r="H230"/>
  <c r="H239"/>
  <c r="H236"/>
  <c r="H246"/>
  <c r="H256"/>
  <c r="H248"/>
  <c r="H251"/>
  <c r="H247"/>
  <c r="H244"/>
  <c r="H259"/>
  <c r="H258"/>
  <c r="H250"/>
  <c r="H257"/>
  <c r="H252"/>
  <c r="H242"/>
  <c r="H243"/>
  <c r="H255"/>
  <c r="H254"/>
  <c r="H245"/>
  <c r="M253"/>
  <c r="M269" s="1"/>
  <c r="H249"/>
  <c r="H268"/>
  <c r="H266"/>
  <c r="H262"/>
  <c r="H265"/>
  <c r="H261"/>
  <c r="H267"/>
  <c r="R228"/>
  <c r="Q228"/>
  <c r="P228"/>
  <c r="O228"/>
  <c r="L228"/>
  <c r="J228"/>
  <c r="G228"/>
  <c r="F228"/>
  <c r="H221"/>
  <c r="H223"/>
  <c r="H227"/>
  <c r="H225"/>
  <c r="H216"/>
  <c r="S216" s="1"/>
  <c r="H215"/>
  <c r="S215" s="1"/>
  <c r="R210"/>
  <c r="Q210"/>
  <c r="P210"/>
  <c r="O210"/>
  <c r="N210"/>
  <c r="G210"/>
  <c r="J208"/>
  <c r="J210" s="1"/>
  <c r="F207"/>
  <c r="F209"/>
  <c r="L210"/>
  <c r="R200"/>
  <c r="Q200"/>
  <c r="P200"/>
  <c r="O200"/>
  <c r="L200"/>
  <c r="G200"/>
  <c r="F200"/>
  <c r="J198"/>
  <c r="H198" s="1"/>
  <c r="S198" s="1"/>
  <c r="H197"/>
  <c r="H192"/>
  <c r="H191"/>
  <c r="H190"/>
  <c r="H189"/>
  <c r="N200"/>
  <c r="H186"/>
  <c r="H185"/>
  <c r="H183"/>
  <c r="S183" s="1"/>
  <c r="H181"/>
  <c r="H180"/>
  <c r="H179"/>
  <c r="H178"/>
  <c r="H174"/>
  <c r="H170"/>
  <c r="H168"/>
  <c r="J165"/>
  <c r="H165" s="1"/>
  <c r="S165" s="1"/>
  <c r="H164"/>
  <c r="H162"/>
  <c r="H159"/>
  <c r="H158"/>
  <c r="H156"/>
  <c r="H153"/>
  <c r="H149"/>
  <c r="H148"/>
  <c r="K146"/>
  <c r="H143"/>
  <c r="H141"/>
  <c r="S141" s="1"/>
  <c r="H134"/>
  <c r="H133"/>
  <c r="H126"/>
  <c r="J122"/>
  <c r="H122" s="1"/>
  <c r="S122" s="1"/>
  <c r="H120"/>
  <c r="H118"/>
  <c r="S118" s="1"/>
  <c r="J113"/>
  <c r="H113" s="1"/>
  <c r="S113" s="1"/>
  <c r="H112"/>
  <c r="J111"/>
  <c r="H111" s="1"/>
  <c r="S111" s="1"/>
  <c r="H109"/>
  <c r="J107"/>
  <c r="H107" s="1"/>
  <c r="S107" s="1"/>
  <c r="H103"/>
  <c r="H99"/>
  <c r="H97"/>
  <c r="H92"/>
  <c r="H86"/>
  <c r="M83"/>
  <c r="J82"/>
  <c r="H82" s="1"/>
  <c r="S82" s="1"/>
  <c r="J79"/>
  <c r="H79" s="1"/>
  <c r="S79" s="1"/>
  <c r="H78"/>
  <c r="H77"/>
  <c r="H76"/>
  <c r="H75"/>
  <c r="J74"/>
  <c r="H74" s="1"/>
  <c r="S74" s="1"/>
  <c r="H73"/>
  <c r="J72"/>
  <c r="J71"/>
  <c r="H71" s="1"/>
  <c r="S71" s="1"/>
  <c r="J70"/>
  <c r="H70" s="1"/>
  <c r="S70" s="1"/>
  <c r="H68"/>
  <c r="H64"/>
  <c r="R61"/>
  <c r="Q61"/>
  <c r="P61"/>
  <c r="O61"/>
  <c r="N61"/>
  <c r="L61"/>
  <c r="J61"/>
  <c r="G61"/>
  <c r="F61"/>
  <c r="I50"/>
  <c r="H50" s="1"/>
  <c r="I51"/>
  <c r="R46"/>
  <c r="Q46"/>
  <c r="P46"/>
  <c r="O46"/>
  <c r="N46"/>
  <c r="L46"/>
  <c r="J46"/>
  <c r="G46"/>
  <c r="F46"/>
  <c r="R38"/>
  <c r="Q38"/>
  <c r="P38"/>
  <c r="O38"/>
  <c r="N38"/>
  <c r="M38"/>
  <c r="L38"/>
  <c r="J38"/>
  <c r="G38"/>
  <c r="F38"/>
  <c r="H36"/>
  <c r="S36" s="1"/>
  <c r="I38"/>
  <c r="H33"/>
  <c r="R29"/>
  <c r="Q29"/>
  <c r="P29"/>
  <c r="O29"/>
  <c r="N29"/>
  <c r="L29"/>
  <c r="G29"/>
  <c r="F29"/>
  <c r="J17"/>
  <c r="J29" s="1"/>
  <c r="A18"/>
  <c r="A19" s="1"/>
  <c r="A20" s="1"/>
  <c r="A21" s="1"/>
  <c r="A22" s="1"/>
  <c r="A23" s="1"/>
  <c r="A24" s="1"/>
  <c r="A25" s="1"/>
  <c r="A26" s="1"/>
  <c r="K29"/>
  <c r="I29"/>
  <c r="R15" l="1"/>
  <c r="K445"/>
  <c r="A27"/>
  <c r="A28" s="1"/>
  <c r="A31" s="1"/>
  <c r="A32" s="1"/>
  <c r="A33" s="1"/>
  <c r="A34" s="1"/>
  <c r="A35" s="1"/>
  <c r="A36" s="1"/>
  <c r="A37" s="1"/>
  <c r="A40" s="1"/>
  <c r="A41" s="1"/>
  <c r="A42" s="1"/>
  <c r="A43" s="1"/>
  <c r="A44" s="1"/>
  <c r="A45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2" s="1"/>
  <c r="A203" s="1"/>
  <c r="A204" s="1"/>
  <c r="A205" s="1"/>
  <c r="A206" s="1"/>
  <c r="A207" s="1"/>
  <c r="A208" s="1"/>
  <c r="A209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71" s="1"/>
  <c r="A272" s="1"/>
  <c r="A275" s="1"/>
  <c r="A276" s="1"/>
  <c r="A279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6" s="1"/>
  <c r="A317" s="1"/>
  <c r="A320" s="1"/>
  <c r="A321" s="1"/>
  <c r="A322" s="1"/>
  <c r="A323" s="1"/>
  <c r="A324" s="1"/>
  <c r="A325" s="1"/>
  <c r="A328" s="1"/>
  <c r="A329" s="1"/>
  <c r="A330" s="1"/>
  <c r="A331" s="1"/>
  <c r="A332" s="1"/>
  <c r="A333" s="1"/>
  <c r="A334" s="1"/>
  <c r="A335" s="1"/>
  <c r="A336" s="1"/>
  <c r="A337" s="1"/>
  <c r="A342" s="1"/>
  <c r="A345" s="1"/>
  <c r="A346" s="1"/>
  <c r="A349" s="1"/>
  <c r="A350" s="1"/>
  <c r="A351" s="1"/>
  <c r="A352" s="1"/>
  <c r="A353" s="1"/>
  <c r="A354" s="1"/>
  <c r="A355" s="1"/>
  <c r="A356" s="1"/>
  <c r="A359" s="1"/>
  <c r="A360" s="1"/>
  <c r="A363" s="1"/>
  <c r="A364" s="1"/>
  <c r="A365" s="1"/>
  <c r="A366" s="1"/>
  <c r="A367" s="1"/>
  <c r="A368" s="1"/>
  <c r="A371" s="1"/>
  <c r="A372" s="1"/>
  <c r="A373" s="1"/>
  <c r="A374" s="1"/>
  <c r="A375" s="1"/>
  <c r="A378" s="1"/>
  <c r="A381" s="1"/>
  <c r="A384" s="1"/>
  <c r="A385" s="1"/>
  <c r="A390" s="1"/>
  <c r="A391" s="1"/>
  <c r="A394" s="1"/>
  <c r="A395" s="1"/>
  <c r="A396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41" s="1"/>
  <c r="A442" s="1"/>
  <c r="A443" s="1"/>
  <c r="A447" s="1"/>
  <c r="A448" s="1"/>
  <c r="A449" s="1"/>
  <c r="P15"/>
  <c r="G398"/>
  <c r="F398"/>
  <c r="F445"/>
  <c r="J398"/>
  <c r="S97"/>
  <c r="S181"/>
  <c r="S265"/>
  <c r="S260"/>
  <c r="S373"/>
  <c r="S230"/>
  <c r="S237"/>
  <c r="S168"/>
  <c r="S179"/>
  <c r="S266"/>
  <c r="S239"/>
  <c r="S333"/>
  <c r="S73"/>
  <c r="S77"/>
  <c r="S262"/>
  <c r="S258"/>
  <c r="S244"/>
  <c r="S251"/>
  <c r="S256"/>
  <c r="S236"/>
  <c r="F210"/>
  <c r="F15" s="1"/>
  <c r="O15"/>
  <c r="L15"/>
  <c r="S442"/>
  <c r="Q15"/>
  <c r="S441"/>
  <c r="Q398"/>
  <c r="N398"/>
  <c r="L398"/>
  <c r="R398"/>
  <c r="O398"/>
  <c r="H299"/>
  <c r="K450"/>
  <c r="K451" s="1"/>
  <c r="K347"/>
  <c r="N228"/>
  <c r="H98"/>
  <c r="H24"/>
  <c r="H207"/>
  <c r="H208"/>
  <c r="S208" s="1"/>
  <c r="H96"/>
  <c r="H154"/>
  <c r="S154" s="1"/>
  <c r="H26"/>
  <c r="I200"/>
  <c r="H203"/>
  <c r="I269"/>
  <c r="J313"/>
  <c r="H298"/>
  <c r="S298" s="1"/>
  <c r="H20"/>
  <c r="I338"/>
  <c r="I339" s="1"/>
  <c r="M397"/>
  <c r="I419"/>
  <c r="H95"/>
  <c r="H182"/>
  <c r="M398"/>
  <c r="K210"/>
  <c r="H217"/>
  <c r="H45"/>
  <c r="H309"/>
  <c r="H83"/>
  <c r="S83" s="1"/>
  <c r="H214"/>
  <c r="I228"/>
  <c r="H21"/>
  <c r="H48"/>
  <c r="S48" s="1"/>
  <c r="H123"/>
  <c r="H131"/>
  <c r="S131" s="1"/>
  <c r="H137"/>
  <c r="H146"/>
  <c r="S146" s="1"/>
  <c r="I313"/>
  <c r="H40"/>
  <c r="S40" s="1"/>
  <c r="M61"/>
  <c r="H116"/>
  <c r="S116" s="1"/>
  <c r="H144"/>
  <c r="H187"/>
  <c r="H288"/>
  <c r="S240"/>
  <c r="H352"/>
  <c r="I369"/>
  <c r="I387" s="1"/>
  <c r="K398"/>
  <c r="H394"/>
  <c r="S394" s="1"/>
  <c r="N439"/>
  <c r="N445" s="1"/>
  <c r="H55"/>
  <c r="H125"/>
  <c r="H226"/>
  <c r="S226" s="1"/>
  <c r="H279"/>
  <c r="X279" s="1"/>
  <c r="M29"/>
  <c r="H23"/>
  <c r="H28"/>
  <c r="H35"/>
  <c r="H41"/>
  <c r="S41" s="1"/>
  <c r="H43"/>
  <c r="K46"/>
  <c r="I46"/>
  <c r="H49"/>
  <c r="H52"/>
  <c r="H56"/>
  <c r="H53"/>
  <c r="H63"/>
  <c r="H65"/>
  <c r="H90"/>
  <c r="H91"/>
  <c r="H102"/>
  <c r="S102" s="1"/>
  <c r="H104"/>
  <c r="H184"/>
  <c r="M210"/>
  <c r="S249"/>
  <c r="S233"/>
  <c r="H284"/>
  <c r="H301"/>
  <c r="S301" s="1"/>
  <c r="H292"/>
  <c r="S292" s="1"/>
  <c r="H287"/>
  <c r="H310"/>
  <c r="H337"/>
  <c r="S337" s="1"/>
  <c r="F387"/>
  <c r="P387"/>
  <c r="H22"/>
  <c r="H27"/>
  <c r="H37"/>
  <c r="S37" s="1"/>
  <c r="H44"/>
  <c r="M46"/>
  <c r="K61"/>
  <c r="H51"/>
  <c r="H60"/>
  <c r="H93"/>
  <c r="S93" s="1"/>
  <c r="H106"/>
  <c r="H139"/>
  <c r="S139" s="1"/>
  <c r="H140"/>
  <c r="H155"/>
  <c r="S155" s="1"/>
  <c r="H160"/>
  <c r="H163"/>
  <c r="H172"/>
  <c r="H194"/>
  <c r="S194" s="1"/>
  <c r="H199"/>
  <c r="S235"/>
  <c r="K326"/>
  <c r="K339" s="1"/>
  <c r="H351"/>
  <c r="S351" s="1"/>
  <c r="H350"/>
  <c r="S350" s="1"/>
  <c r="H353"/>
  <c r="J387"/>
  <c r="O387"/>
  <c r="H391"/>
  <c r="H413"/>
  <c r="I439"/>
  <c r="H421"/>
  <c r="S421" s="1"/>
  <c r="H448"/>
  <c r="I61"/>
  <c r="H150"/>
  <c r="H157"/>
  <c r="S157" s="1"/>
  <c r="H196"/>
  <c r="S223"/>
  <c r="Z223" s="1"/>
  <c r="S268"/>
  <c r="H291"/>
  <c r="H286"/>
  <c r="H311"/>
  <c r="H317"/>
  <c r="H354"/>
  <c r="S354" s="1"/>
  <c r="K376"/>
  <c r="N387"/>
  <c r="R387"/>
  <c r="H414"/>
  <c r="S414" s="1"/>
  <c r="H447"/>
  <c r="H67"/>
  <c r="H81"/>
  <c r="S81" s="1"/>
  <c r="H85"/>
  <c r="H88"/>
  <c r="H127"/>
  <c r="H142"/>
  <c r="H152"/>
  <c r="S152" s="1"/>
  <c r="H166"/>
  <c r="H176"/>
  <c r="H193"/>
  <c r="H253"/>
  <c r="H323"/>
  <c r="H345"/>
  <c r="G387"/>
  <c r="L387"/>
  <c r="Q387"/>
  <c r="M439"/>
  <c r="M445" s="1"/>
  <c r="S21"/>
  <c r="S20"/>
  <c r="S50"/>
  <c r="S33"/>
  <c r="S76"/>
  <c r="S156"/>
  <c r="H19"/>
  <c r="H18"/>
  <c r="H17"/>
  <c r="H31"/>
  <c r="K38"/>
  <c r="H58"/>
  <c r="H59"/>
  <c r="H57"/>
  <c r="H54"/>
  <c r="H69"/>
  <c r="S126"/>
  <c r="S43"/>
  <c r="S44"/>
  <c r="S64"/>
  <c r="S143"/>
  <c r="S150"/>
  <c r="H25"/>
  <c r="H34"/>
  <c r="H42"/>
  <c r="S49"/>
  <c r="H72"/>
  <c r="S72" s="1"/>
  <c r="K200"/>
  <c r="S78"/>
  <c r="S92"/>
  <c r="S103"/>
  <c r="S112"/>
  <c r="S134"/>
  <c r="S148"/>
  <c r="S153"/>
  <c r="S159"/>
  <c r="H32"/>
  <c r="S68"/>
  <c r="S75"/>
  <c r="S189"/>
  <c r="S190"/>
  <c r="S197"/>
  <c r="S225"/>
  <c r="M200"/>
  <c r="J200"/>
  <c r="H80"/>
  <c r="H84"/>
  <c r="H87"/>
  <c r="S91"/>
  <c r="H94"/>
  <c r="S99"/>
  <c r="H101"/>
  <c r="H105"/>
  <c r="H110"/>
  <c r="H115"/>
  <c r="H117"/>
  <c r="H119"/>
  <c r="S120"/>
  <c r="H124"/>
  <c r="S125"/>
  <c r="H128"/>
  <c r="H130"/>
  <c r="H136"/>
  <c r="S137"/>
  <c r="H145"/>
  <c r="H147"/>
  <c r="S149"/>
  <c r="H151"/>
  <c r="S158"/>
  <c r="H161"/>
  <c r="S96"/>
  <c r="S98"/>
  <c r="H114"/>
  <c r="S162"/>
  <c r="S164"/>
  <c r="H169"/>
  <c r="S186"/>
  <c r="S227"/>
  <c r="H66"/>
  <c r="S86"/>
  <c r="H89"/>
  <c r="H100"/>
  <c r="H108"/>
  <c r="S109"/>
  <c r="H121"/>
  <c r="H129"/>
  <c r="H132"/>
  <c r="S133"/>
  <c r="H135"/>
  <c r="H138"/>
  <c r="S144"/>
  <c r="S192"/>
  <c r="S221"/>
  <c r="Z221" s="1"/>
  <c r="S231"/>
  <c r="S241"/>
  <c r="H167"/>
  <c r="H171"/>
  <c r="H175"/>
  <c r="H195"/>
  <c r="S203"/>
  <c r="H206"/>
  <c r="H202"/>
  <c r="H213"/>
  <c r="H218"/>
  <c r="H219"/>
  <c r="H220"/>
  <c r="H222"/>
  <c r="K228"/>
  <c r="M228"/>
  <c r="H263"/>
  <c r="S250"/>
  <c r="S259"/>
  <c r="S247"/>
  <c r="S248"/>
  <c r="S246"/>
  <c r="S232"/>
  <c r="S238"/>
  <c r="S299"/>
  <c r="S178"/>
  <c r="S180"/>
  <c r="I210"/>
  <c r="S267"/>
  <c r="S245"/>
  <c r="S254"/>
  <c r="S255"/>
  <c r="S243"/>
  <c r="S242"/>
  <c r="S252"/>
  <c r="S257"/>
  <c r="S170"/>
  <c r="H173"/>
  <c r="S174"/>
  <c r="H177"/>
  <c r="S185"/>
  <c r="H188"/>
  <c r="S191"/>
  <c r="H204"/>
  <c r="H205"/>
  <c r="H209"/>
  <c r="S207"/>
  <c r="H224"/>
  <c r="H212"/>
  <c r="S261"/>
  <c r="H264"/>
  <c r="S234"/>
  <c r="G269"/>
  <c r="G15" s="1"/>
  <c r="H271"/>
  <c r="H272"/>
  <c r="K273"/>
  <c r="H303"/>
  <c r="H282"/>
  <c r="S284"/>
  <c r="H289"/>
  <c r="H304"/>
  <c r="H305"/>
  <c r="H294"/>
  <c r="H306"/>
  <c r="H312"/>
  <c r="H295"/>
  <c r="M318"/>
  <c r="M339" s="1"/>
  <c r="H320"/>
  <c r="H324"/>
  <c r="F339"/>
  <c r="O339"/>
  <c r="R339"/>
  <c r="I398"/>
  <c r="S336"/>
  <c r="S291"/>
  <c r="S296"/>
  <c r="S297"/>
  <c r="H321"/>
  <c r="L339"/>
  <c r="Q339"/>
  <c r="S332"/>
  <c r="S363"/>
  <c r="S368"/>
  <c r="S385"/>
  <c r="S279"/>
  <c r="S280" s="1"/>
  <c r="H280"/>
  <c r="H302"/>
  <c r="S290"/>
  <c r="H307"/>
  <c r="S308"/>
  <c r="H293"/>
  <c r="K313"/>
  <c r="H316"/>
  <c r="J339"/>
  <c r="N339"/>
  <c r="P339"/>
  <c r="H325"/>
  <c r="S367"/>
  <c r="S365"/>
  <c r="H322"/>
  <c r="G339"/>
  <c r="S407"/>
  <c r="S449"/>
  <c r="S329"/>
  <c r="H356"/>
  <c r="K357"/>
  <c r="H360"/>
  <c r="K361"/>
  <c r="S404"/>
  <c r="S411"/>
  <c r="H342"/>
  <c r="H346"/>
  <c r="S352"/>
  <c r="M357"/>
  <c r="M387" s="1"/>
  <c r="H372"/>
  <c r="H381"/>
  <c r="H390"/>
  <c r="S410"/>
  <c r="S431"/>
  <c r="H334"/>
  <c r="H330"/>
  <c r="H328"/>
  <c r="S353"/>
  <c r="H355"/>
  <c r="H366"/>
  <c r="S374"/>
  <c r="H375"/>
  <c r="H378"/>
  <c r="H384"/>
  <c r="H395"/>
  <c r="S403"/>
  <c r="S415"/>
  <c r="H335"/>
  <c r="H331"/>
  <c r="H349"/>
  <c r="H359"/>
  <c r="H371"/>
  <c r="H396"/>
  <c r="H406"/>
  <c r="H408"/>
  <c r="H412"/>
  <c r="H416"/>
  <c r="H417"/>
  <c r="J419"/>
  <c r="J445" s="1"/>
  <c r="H430"/>
  <c r="S436"/>
  <c r="H433"/>
  <c r="H429"/>
  <c r="H423"/>
  <c r="H425"/>
  <c r="H435"/>
  <c r="H424"/>
  <c r="H422"/>
  <c r="H426"/>
  <c r="H427"/>
  <c r="H428"/>
  <c r="H438"/>
  <c r="I444"/>
  <c r="H402"/>
  <c r="S401"/>
  <c r="S405"/>
  <c r="S409"/>
  <c r="H434"/>
  <c r="H432"/>
  <c r="S448"/>
  <c r="S437"/>
  <c r="H443"/>
  <c r="S142" l="1"/>
  <c r="S317"/>
  <c r="S123"/>
  <c r="S182"/>
  <c r="S323"/>
  <c r="S166"/>
  <c r="S286"/>
  <c r="S22"/>
  <c r="S187"/>
  <c r="S214"/>
  <c r="S217"/>
  <c r="S95"/>
  <c r="H277"/>
  <c r="S345"/>
  <c r="S391"/>
  <c r="S199"/>
  <c r="S27"/>
  <c r="S184"/>
  <c r="S45"/>
  <c r="S24"/>
  <c r="H392"/>
  <c r="S23"/>
  <c r="S26"/>
  <c r="S443"/>
  <c r="S444" s="1"/>
  <c r="S85"/>
  <c r="S60"/>
  <c r="N15"/>
  <c r="J15"/>
  <c r="I445"/>
  <c r="K15"/>
  <c r="M15"/>
  <c r="S413"/>
  <c r="S310"/>
  <c r="S287"/>
  <c r="S172"/>
  <c r="S104"/>
  <c r="S140"/>
  <c r="S28"/>
  <c r="S51"/>
  <c r="I15"/>
  <c r="S447"/>
  <c r="S450" s="1"/>
  <c r="S451" s="1"/>
  <c r="H450"/>
  <c r="H451" s="1"/>
  <c r="S35"/>
  <c r="S311"/>
  <c r="S176"/>
  <c r="S127"/>
  <c r="H269"/>
  <c r="S90"/>
  <c r="S55"/>
  <c r="S288"/>
  <c r="S88"/>
  <c r="S53"/>
  <c r="S309"/>
  <c r="H397"/>
  <c r="H398" s="1"/>
  <c r="S193"/>
  <c r="S106"/>
  <c r="S67"/>
  <c r="S196"/>
  <c r="S160"/>
  <c r="S63"/>
  <c r="S52"/>
  <c r="H338"/>
  <c r="H376"/>
  <c r="S253"/>
  <c r="S163"/>
  <c r="S65"/>
  <c r="S56"/>
  <c r="K387"/>
  <c r="H357"/>
  <c r="S438"/>
  <c r="S422"/>
  <c r="S423"/>
  <c r="S417"/>
  <c r="S408"/>
  <c r="S396"/>
  <c r="H386"/>
  <c r="S384"/>
  <c r="S386" s="1"/>
  <c r="S328"/>
  <c r="S360"/>
  <c r="S325"/>
  <c r="S316"/>
  <c r="S318" s="1"/>
  <c r="H318"/>
  <c r="S293"/>
  <c r="S302"/>
  <c r="S321"/>
  <c r="S295"/>
  <c r="H313"/>
  <c r="S303"/>
  <c r="S264"/>
  <c r="S209"/>
  <c r="S188"/>
  <c r="S177"/>
  <c r="S263"/>
  <c r="S222"/>
  <c r="S206"/>
  <c r="S195"/>
  <c r="S167"/>
  <c r="S108"/>
  <c r="S100"/>
  <c r="S145"/>
  <c r="S136"/>
  <c r="S117"/>
  <c r="S105"/>
  <c r="S87"/>
  <c r="S42"/>
  <c r="S25"/>
  <c r="S54"/>
  <c r="S57"/>
  <c r="H29"/>
  <c r="S19"/>
  <c r="S426"/>
  <c r="S425"/>
  <c r="S433"/>
  <c r="S349"/>
  <c r="S375"/>
  <c r="S346"/>
  <c r="S347" s="1"/>
  <c r="S356"/>
  <c r="S324"/>
  <c r="S306"/>
  <c r="S304"/>
  <c r="S282"/>
  <c r="H273"/>
  <c r="S271"/>
  <c r="S224"/>
  <c r="Z224" s="1"/>
  <c r="S218"/>
  <c r="S202"/>
  <c r="S171"/>
  <c r="S135"/>
  <c r="S161"/>
  <c r="S147"/>
  <c r="S128"/>
  <c r="S119"/>
  <c r="S80"/>
  <c r="H38"/>
  <c r="S34"/>
  <c r="S59"/>
  <c r="S18"/>
  <c r="S434"/>
  <c r="H419"/>
  <c r="S402"/>
  <c r="S427"/>
  <c r="S435"/>
  <c r="S430"/>
  <c r="H439"/>
  <c r="S412"/>
  <c r="S406"/>
  <c r="S359"/>
  <c r="S361" s="1"/>
  <c r="H361"/>
  <c r="S335"/>
  <c r="S395"/>
  <c r="H379"/>
  <c r="S378"/>
  <c r="S379" s="1"/>
  <c r="S355"/>
  <c r="S334"/>
  <c r="S390"/>
  <c r="S392" s="1"/>
  <c r="S372"/>
  <c r="S307"/>
  <c r="S277"/>
  <c r="S312"/>
  <c r="S305"/>
  <c r="S272"/>
  <c r="S212"/>
  <c r="S204"/>
  <c r="S210" s="1"/>
  <c r="S173"/>
  <c r="S219"/>
  <c r="S213"/>
  <c r="H228"/>
  <c r="S138"/>
  <c r="S129"/>
  <c r="S89"/>
  <c r="S66"/>
  <c r="S169"/>
  <c r="S114"/>
  <c r="S130"/>
  <c r="S110"/>
  <c r="S101"/>
  <c r="H200"/>
  <c r="S69"/>
  <c r="S31"/>
  <c r="H347"/>
  <c r="H46"/>
  <c r="H444"/>
  <c r="S432"/>
  <c r="S428"/>
  <c r="S424"/>
  <c r="S429"/>
  <c r="S416"/>
  <c r="S371"/>
  <c r="S331"/>
  <c r="H369"/>
  <c r="S366"/>
  <c r="S369" s="1"/>
  <c r="S330"/>
  <c r="H382"/>
  <c r="S381"/>
  <c r="S382" s="1"/>
  <c r="H343"/>
  <c r="S342"/>
  <c r="S343" s="1"/>
  <c r="H326"/>
  <c r="S322"/>
  <c r="S320"/>
  <c r="S294"/>
  <c r="S289"/>
  <c r="S205"/>
  <c r="S220"/>
  <c r="S175"/>
  <c r="S132"/>
  <c r="S121"/>
  <c r="S151"/>
  <c r="S124"/>
  <c r="S115"/>
  <c r="S94"/>
  <c r="S84"/>
  <c r="S32"/>
  <c r="S58"/>
  <c r="H61"/>
  <c r="S17"/>
  <c r="H210"/>
  <c r="S46"/>
  <c r="H339" l="1"/>
  <c r="S61"/>
  <c r="S338"/>
  <c r="S397"/>
  <c r="H15"/>
  <c r="S269"/>
  <c r="S376"/>
  <c r="S357"/>
  <c r="S326"/>
  <c r="S419"/>
  <c r="S38"/>
  <c r="S228"/>
  <c r="S439"/>
  <c r="H387"/>
  <c r="S200"/>
  <c r="S398"/>
  <c r="H445"/>
  <c r="S313"/>
  <c r="S273"/>
  <c r="S29"/>
  <c r="S339" l="1"/>
  <c r="S387"/>
  <c r="S15"/>
  <c r="V15" s="1"/>
  <c r="S445"/>
</calcChain>
</file>

<file path=xl/comments1.xml><?xml version="1.0" encoding="utf-8"?>
<comments xmlns="http://schemas.openxmlformats.org/spreadsheetml/2006/main">
  <authors>
    <author>nijelskaya</author>
    <author>User</author>
  </authors>
  <commentList>
    <comment ref="B79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МКД культурного наследия</t>
        </r>
      </text>
    </comment>
    <comment ref="B80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МКД культурного наследия</t>
        </r>
      </text>
    </comment>
    <comment ref="B81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МКД культурного наследия</t>
        </r>
      </text>
    </comment>
    <comment ref="B83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МКД культурного наследия</t>
        </r>
      </text>
    </comment>
    <comment ref="M83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Сумма проекта вычтена из суммы по предельнику
</t>
        </r>
      </text>
    </comment>
    <comment ref="B132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собственники сами будут менять теплообменник в 2016 году</t>
        </r>
      </text>
    </comment>
    <comment ref="B253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МКД культурного наследия, подтверждение предоставлено</t>
        </r>
      </text>
    </comment>
    <comment ref="M253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>Сумма проекта вычтена из суммы по предельнику</t>
        </r>
      </text>
    </comment>
  </commentList>
</comments>
</file>

<file path=xl/sharedStrings.xml><?xml version="1.0" encoding="utf-8"?>
<sst xmlns="http://schemas.openxmlformats.org/spreadsheetml/2006/main" count="1264" uniqueCount="522">
  <si>
    <t>№ п/п</t>
  </si>
  <si>
    <t>Адрес МКД</t>
  </si>
  <si>
    <t>Год ввода в эксплуатацию</t>
  </si>
  <si>
    <t>Общая площадь МКД, всего</t>
  </si>
  <si>
    <t>Всего: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</si>
  <si>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</si>
  <si>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</si>
  <si>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</si>
  <si>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</si>
  <si>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</si>
  <si>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</si>
  <si>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В том числе:</t>
  </si>
  <si>
    <t>За счет средств местного бюджета</t>
  </si>
  <si>
    <t>кв.м</t>
  </si>
  <si>
    <t>руб.</t>
  </si>
  <si>
    <t>1</t>
  </si>
  <si>
    <t>2</t>
  </si>
  <si>
    <t>3</t>
  </si>
  <si>
    <t>1959</t>
  </si>
  <si>
    <t>1958</t>
  </si>
  <si>
    <t>1977</t>
  </si>
  <si>
    <t>1984</t>
  </si>
  <si>
    <t>1980</t>
  </si>
  <si>
    <t>За счет средств федерального бюджета</t>
  </si>
  <si>
    <t>1990</t>
  </si>
  <si>
    <t>г. Североморск, ул. Северная Застава, д. 26</t>
  </si>
  <si>
    <t>г. Североморск, ул. Флотских Строителей, д. 6</t>
  </si>
  <si>
    <t>Муниципальное образование сельское поселение Пушной Кольского района</t>
  </si>
  <si>
    <t>Муниципальное образование город Мончегорск с подведомственной территорией</t>
  </si>
  <si>
    <t>Муниципальное образование город Кировск с подведомственной территорией</t>
  </si>
  <si>
    <t>Муниципальное образование ЗАТО Александровск</t>
  </si>
  <si>
    <t>Муниципальное образование город Мурманск</t>
  </si>
  <si>
    <t>Муниципальное образование ЗАТО город Североморск</t>
  </si>
  <si>
    <t>За счет средств собственников помещений в МКД</t>
  </si>
  <si>
    <t>За счет средств областного бюджета</t>
  </si>
  <si>
    <t>г. Мурманск, ул. Полярный Круг, д. 9</t>
  </si>
  <si>
    <t>Стоимость капитального ремонта**</t>
  </si>
  <si>
    <t>Разработка проектной документации</t>
  </si>
  <si>
    <t>Год начала работ</t>
  </si>
  <si>
    <t>Год завершения работ</t>
  </si>
  <si>
    <t>Муниципальное образование город Апатиты с подведомственной территорией</t>
  </si>
  <si>
    <t>г. Кировск, ул. Юбилейная, д. 7</t>
  </si>
  <si>
    <t>г. Мурманск, пер. Охотничий, д. 13</t>
  </si>
  <si>
    <t>г. Мурманск, пер. Охотничий, д. 19</t>
  </si>
  <si>
    <t>г. Мурманск, ул. Инженерная, д. 7</t>
  </si>
  <si>
    <t>г. Мурманск, ул. Набережная, д. 15</t>
  </si>
  <si>
    <t>г. Мурманск, ул. Октябрьская, д. 12</t>
  </si>
  <si>
    <t>г. Мурманск, ул. Сафонова, д. 32/19</t>
  </si>
  <si>
    <t>г. Мурманск, ул. Свердлова, д. 2, корп. 3</t>
  </si>
  <si>
    <t>г. Мурманск, ул. Челюскинцев, д. 31</t>
  </si>
  <si>
    <t>Муниципальное образование город Оленегорск с подведомственной территорией</t>
  </si>
  <si>
    <t>Муниципальное образование город Полярные Зори с подведомственной территорией</t>
  </si>
  <si>
    <t>г. Полярный, ул. Лунина, д. 5</t>
  </si>
  <si>
    <t>1957</t>
  </si>
  <si>
    <t>1976</t>
  </si>
  <si>
    <t>1964</t>
  </si>
  <si>
    <t>1939</t>
  </si>
  <si>
    <t>1940</t>
  </si>
  <si>
    <t>1938</t>
  </si>
  <si>
    <t>Муниципальное образование ЗАТО поселок Видяево</t>
  </si>
  <si>
    <t>Муниципальное образование ЗАТО город Заозерск</t>
  </si>
  <si>
    <t>г. Кировск, пр. Ленина, д. 9а</t>
  </si>
  <si>
    <t>1963</t>
  </si>
  <si>
    <t>1962</t>
  </si>
  <si>
    <t>Муниципальное образование ЗАТО город Островной</t>
  </si>
  <si>
    <t>Кандалакшский муниципальный район</t>
  </si>
  <si>
    <t>Муниципальное образование сельское поселение Алакуртти Кандалакшского района</t>
  </si>
  <si>
    <t>1982</t>
  </si>
  <si>
    <t>Муниципальное образование городское поселение Зеленоборский Кандалакшского района</t>
  </si>
  <si>
    <t>пгт Зеленоборский, ул. Магистральная, д. 21</t>
  </si>
  <si>
    <t>1950</t>
  </si>
  <si>
    <t>1960</t>
  </si>
  <si>
    <t>Муниципальное образование городское поселение Кандалакша Кандалакшского района</t>
  </si>
  <si>
    <t>1956</t>
  </si>
  <si>
    <t>1937</t>
  </si>
  <si>
    <t>1935</t>
  </si>
  <si>
    <t>Кольский муниципальный район</t>
  </si>
  <si>
    <t>Муниципальное образование городское поселение Кильдинстрой Кольского района</t>
  </si>
  <si>
    <t>Муниципальное образование городское поселение Кола Кольского района</t>
  </si>
  <si>
    <t>Муниципальное образование городское поселение Мурмаши Кольского района</t>
  </si>
  <si>
    <t>1988</t>
  </si>
  <si>
    <t>1968</t>
  </si>
  <si>
    <t>Ловозерский муниципальный район</t>
  </si>
  <si>
    <t>Муниципальное образование сельское поселение Ловозеро Ловозерского района</t>
  </si>
  <si>
    <t>с. Ловозеро, ул. Пионерская, д. 21</t>
  </si>
  <si>
    <t>Муниципальное образование городское поселение Ревда Ловозерского района</t>
  </si>
  <si>
    <t>Печенгский муниципальный район</t>
  </si>
  <si>
    <t>Муниципальное образование городское поселение Заполярный Печенгского района</t>
  </si>
  <si>
    <t>г. Заполярный, пер. Советский, д. 5</t>
  </si>
  <si>
    <t>1967</t>
  </si>
  <si>
    <t>Муниципальное образование городское поселение Никель Печенгского района</t>
  </si>
  <si>
    <t>1989</t>
  </si>
  <si>
    <t>1985</t>
  </si>
  <si>
    <t>1965</t>
  </si>
  <si>
    <t>1973</t>
  </si>
  <si>
    <t>1974</t>
  </si>
  <si>
    <t>пгт Никель, ул. Печенгская, д. 18/9</t>
  </si>
  <si>
    <t>1966</t>
  </si>
  <si>
    <t>1979</t>
  </si>
  <si>
    <t>1969</t>
  </si>
  <si>
    <t>Терский муниципальный район</t>
  </si>
  <si>
    <t>г. Мончегорск, ул. Кольская, д. 4</t>
  </si>
  <si>
    <t>г. Мончегорск, наб. Комсомольская, д. 60</t>
  </si>
  <si>
    <t>г. Мончегорск, ул. Советская, д. 12</t>
  </si>
  <si>
    <t>г. Мурманск, пер. Охотничий, д. 17</t>
  </si>
  <si>
    <t>г. Мурманск, пр. Ленина, д. 70</t>
  </si>
  <si>
    <t>г. Мурманск, ул. Нахимова, д. 17</t>
  </si>
  <si>
    <t>г. Мурманск, ул. Семена Дежнева, д. 14</t>
  </si>
  <si>
    <t>г. Кандалакша, пр-зд Школьный, д. 5</t>
  </si>
  <si>
    <t>Муниципальное образование городское поселение Верхнетуломский Кольского района</t>
  </si>
  <si>
    <t>Муниципальное образование сельское поселение Междуречье Кольского района</t>
  </si>
  <si>
    <t>Муниципальное образование городское поселение Молочный Кольского района</t>
  </si>
  <si>
    <t>пгт Молочный, ул. Гальченко, д. 5</t>
  </si>
  <si>
    <t>Х</t>
  </si>
  <si>
    <t>1981</t>
  </si>
  <si>
    <t>1961</t>
  </si>
  <si>
    <t>Общая площадь помещений МКД, всего</t>
  </si>
  <si>
    <t>нп Африканда, ул. Комсомольская, д. 6</t>
  </si>
  <si>
    <t>пгт Ревда, ул. Нефедова, д. 2</t>
  </si>
  <si>
    <t>пгт Росляково, ул. Молодежная, д. 16</t>
  </si>
  <si>
    <t>г. Мурманск, пр. Ленина, д. 88</t>
  </si>
  <si>
    <t>г. Мурманск, пр. Ленина, д. 65</t>
  </si>
  <si>
    <t>г. Снежногорск, ул. Октябрьская, д. 13</t>
  </si>
  <si>
    <t>г. Полярный, ул. Гаджиева, д. 4</t>
  </si>
  <si>
    <t>г. Полярный, ул. Героев Североморцев, д. 3</t>
  </si>
  <si>
    <t>г. Мурманск, ул. Академика Павлова, д. 5</t>
  </si>
  <si>
    <t>г. Мурманск, ул. им. Виктора Миронова, д. 10</t>
  </si>
  <si>
    <t>г. Мурманск, ул. Юрия Смирнова, д. 20</t>
  </si>
  <si>
    <t>г. Мурманск, ул. Юрия Смирнова, д. 22</t>
  </si>
  <si>
    <t>г. Мурманск, ул. Самойловой, д. 3</t>
  </si>
  <si>
    <t>Мурманской области</t>
  </si>
  <si>
    <t>Ковдорский район</t>
  </si>
  <si>
    <t>г. Ковдор, ул. Коновалова, д. 4</t>
  </si>
  <si>
    <t>г. Ковдор, ул. Ленина, д. 1</t>
  </si>
  <si>
    <t>г. Ковдор, пл. Ленина, д. 5</t>
  </si>
  <si>
    <t>г. Ковдор, пл. Ленина, д. 2</t>
  </si>
  <si>
    <t>г. Ковдор, ул. Ленина, д. 8</t>
  </si>
  <si>
    <r>
      <t>- стоимость ремонта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общей площади  помещений многоквартирного дома  с учетом замены лифтового оборудования - 12 777,69 руб.»</t>
    </r>
  </si>
  <si>
    <t>г. Апатиты, ул. Космонавтов, д. 8</t>
  </si>
  <si>
    <t>г. Апатиты, ул. Космонавтов, д. 11</t>
  </si>
  <si>
    <t>г. Апатиты, ул. Ленина, д. 5</t>
  </si>
  <si>
    <t>г. Апатиты, ул. Московская, д. 1</t>
  </si>
  <si>
    <t>г. Апатиты, ул. Московская, д. 6</t>
  </si>
  <si>
    <t>г. Апатиты, ул. Ферсмана, д. 20</t>
  </si>
  <si>
    <t>панельные</t>
  </si>
  <si>
    <t>кирпичные</t>
  </si>
  <si>
    <t>г. Ковдор, ул. Победы, д. 8</t>
  </si>
  <si>
    <t>крупноблочные силикатные</t>
  </si>
  <si>
    <t>г. Кировск, ул. Мира, д. 2</t>
  </si>
  <si>
    <t>г. Кировск, пр. Ленина, д. 3а</t>
  </si>
  <si>
    <t>г. Кировск, ул. Мира, д. 8а</t>
  </si>
  <si>
    <t>г. Кировск, пр. Ленина, д. 19а</t>
  </si>
  <si>
    <t>г. Кировск, ул. Олимпийская, д. 8</t>
  </si>
  <si>
    <t>бревно (брус)</t>
  </si>
  <si>
    <t>дерево</t>
  </si>
  <si>
    <t>плоская</t>
  </si>
  <si>
    <t>скатная</t>
  </si>
  <si>
    <t>г. Мурманск, ул. Беринга, д. 20</t>
  </si>
  <si>
    <t>г. Мурманск, ул. Адмирала флота Лобова, д. 39/13</t>
  </si>
  <si>
    <t>г. Мурманск, ул. Юрия Гагарина, д. 1а</t>
  </si>
  <si>
    <t>г. Мурманск, пр. Кольский, д. 128</t>
  </si>
  <si>
    <t>г. Мурманск, ул. Карла Либкнехта, д. 8</t>
  </si>
  <si>
    <t>г. Мурманск, пер. Охотничий, д. 4</t>
  </si>
  <si>
    <t>г. Мурманск, пер. Охотничий, д. 21</t>
  </si>
  <si>
    <t>г. Мурманск, пер. Охотничий, д. 15</t>
  </si>
  <si>
    <t>г. Мурманск, пер. Охотничий, д. 25</t>
  </si>
  <si>
    <t>г. Мурманск, пр. Ленина, д. 26</t>
  </si>
  <si>
    <t>г. Мурманск, ул. Академика Павлова, д. 9</t>
  </si>
  <si>
    <t>г. Мурманск, ул. Академика Павлова, д. 2</t>
  </si>
  <si>
    <t>г. Мурманск, ул. Папанина, д. 28</t>
  </si>
  <si>
    <t>г. Мурманск, ул. Фрунзе, д. 17</t>
  </si>
  <si>
    <t>г. Мурманск, пр-зд Молодежный, д. 11</t>
  </si>
  <si>
    <t>г. Мурманск, ул. имени Полухина, д. 22</t>
  </si>
  <si>
    <t>г. Мурманск, ул. имени Полухина, д. 16</t>
  </si>
  <si>
    <t>г. Мурманск, ул. имени Полухина, д. 9</t>
  </si>
  <si>
    <t>г. Мурманск, ул. имени Полухина, д. 12</t>
  </si>
  <si>
    <t>г. Мурманск, ул. имени Полухина, д. 14в</t>
  </si>
  <si>
    <t>г. Мурманск, ул. Сафонова, д. 24/26</t>
  </si>
  <si>
    <t>г. Мурманск, ул. Сафонова, д. 21</t>
  </si>
  <si>
    <t>г. Мурманск, ул. Сафонова, д. 43</t>
  </si>
  <si>
    <t>г. Мурманск, ул. Юрия Гагарина, д. 3</t>
  </si>
  <si>
    <t>г. Мурманск, ул. Юрия Гагарина, д. 5</t>
  </si>
  <si>
    <t xml:space="preserve">г. Мурманск, ул. Подстаницкого, д. 4 </t>
  </si>
  <si>
    <t xml:space="preserve">г. Мурманск, ул. Подстаницкого, д. 12 </t>
  </si>
  <si>
    <t xml:space="preserve">г. Мурманск, ул. Подстаницкого, д. 18 </t>
  </si>
  <si>
    <t>г. Мурманск, ул. Подстаницкого, д. 10</t>
  </si>
  <si>
    <t>г. Мурманск, ул. Подстаницкого, д. 6</t>
  </si>
  <si>
    <t>г. Мурманск, ул. Челюскинцев, д. 30а</t>
  </si>
  <si>
    <t>г. Мурманск, ул. Володарского, д. 2б</t>
  </si>
  <si>
    <t>г. Мурманск, ул. им. вице-адмирала Николаева, д. 5</t>
  </si>
  <si>
    <t>г. Мурманск, ул. им. вице-адмирала Николаева, д. 1/9</t>
  </si>
  <si>
    <t>г. Мурманск, ул. им. вице-адмирала Николаева, д. 6</t>
  </si>
  <si>
    <t>г. Мурманск, ул. им. вице-адмирала Николаева, д. 8</t>
  </si>
  <si>
    <t>г. Мурманск, ул. им. вице-адмирала Николаева, д. 7</t>
  </si>
  <si>
    <t>г. Мурманск, ул. имени Гаджиева, д. 2/47</t>
  </si>
  <si>
    <t>г. Мурманск, ул. им. А. С. Хлобыстова, д. 18</t>
  </si>
  <si>
    <t>г. Апатиты, ул. Победы, д. 19</t>
  </si>
  <si>
    <t>г. Апатиты, ул. Северная, д. 29</t>
  </si>
  <si>
    <t>г. Апатиты, ул. Ферсмана, д. 36</t>
  </si>
  <si>
    <t>г. Апатиты, ул. Бредова, д. 30</t>
  </si>
  <si>
    <t>г. Апатиты, ул. Победы, д. 6</t>
  </si>
  <si>
    <t>газ</t>
  </si>
  <si>
    <t>электро</t>
  </si>
  <si>
    <t>г. Мурманск, ул. Бредова, д. 17</t>
  </si>
  <si>
    <t>г. Мурманск, ул. Героев Рыбачьего, д. 21</t>
  </si>
  <si>
    <t>г. Мурманск, ул. Полярный Круг, д. 4</t>
  </si>
  <si>
    <t>г. Мурманск, ул. Полярный Круг, д. 6</t>
  </si>
  <si>
    <t>г. Мурманск, ул. Полярный Круг, д. 8</t>
  </si>
  <si>
    <t>г. Мурманск, ул. Полярный Круг, д. 10</t>
  </si>
  <si>
    <t>г. Мурманск, ул. Загородная, д. 13</t>
  </si>
  <si>
    <t>г. Мурманск, ул. Прибрежная, д. 23</t>
  </si>
  <si>
    <t>г. Мурманск, ул. Прибрежная, д. 25</t>
  </si>
  <si>
    <t>г. Мурманск, пр. Кольский, д. 26</t>
  </si>
  <si>
    <t>г. Мурманск, ул. Туристов, д. 11а</t>
  </si>
  <si>
    <t>г. Мурманск, ул. Подгорная, д. 72</t>
  </si>
  <si>
    <t>г. Мурманск, ул. Крупской, д. 52</t>
  </si>
  <si>
    <t>г. Мурманск, ул. Декабристов, д. 10</t>
  </si>
  <si>
    <t>г. Мурманск, ул. Баумана, д. 10</t>
  </si>
  <si>
    <t>г. Мурманск, ул. Баумана, д. 38</t>
  </si>
  <si>
    <t>г. Мурманск, пр-кт Кирова, д. 15</t>
  </si>
  <si>
    <t>г. Мурманск, ул. Бондарная, д. 32</t>
  </si>
  <si>
    <t>г. Мурманск, пр-зд Ледокольный, д. 9</t>
  </si>
  <si>
    <t>г. Мурманск, ул. Халтурина, д. 16</t>
  </si>
  <si>
    <t>г. Мурманск, ул. Беринга, д. 7</t>
  </si>
  <si>
    <t>г. Мурманск, ул. им. капитана Копытова С.Д., д. 6</t>
  </si>
  <si>
    <t>г. Мурманск, пр-зд им. М. Бабикова, д. 5</t>
  </si>
  <si>
    <t>г. Мурманск, ул. Мурманская, д. 58</t>
  </si>
  <si>
    <t>г. Мурманск, ул. капитана Буркова, д. 25</t>
  </si>
  <si>
    <t>г. Мурманск, ул. капитана Буркова, д. 45</t>
  </si>
  <si>
    <t>г. Мурманск, ул. капитана Буркова, д. 13</t>
  </si>
  <si>
    <t>г. Мурманск, ул. капитана Буркова, д. 29</t>
  </si>
  <si>
    <t>г. Мурманск, ул. Капитана Маклакова, д. 18</t>
  </si>
  <si>
    <t>г. Мурманск, ул. Капитана Маклакова, д. 37</t>
  </si>
  <si>
    <t>г. Мурманск, ул. Адмирала флота Лобова, д. 34</t>
  </si>
  <si>
    <t>г. Мурманск, ул. имени Героя Советского Союза Сивко И.М., д. 3</t>
  </si>
  <si>
    <t>г. Мурманск, ул. Привокзальная, д. 20</t>
  </si>
  <si>
    <t>г. Мурманск, ул. Карла Либкнехта, д. 30а</t>
  </si>
  <si>
    <t>г. Мурманск, ул. Привокзальная, д. 24</t>
  </si>
  <si>
    <t>г. Мурманск, ул. имени академика Книповича Н.М., д. 9а</t>
  </si>
  <si>
    <t>г. Мурманск, ул. им. вице-адмирала Николаева, д. 9</t>
  </si>
  <si>
    <t>г. Мурманск, ул. Пищевиков, д. 6</t>
  </si>
  <si>
    <t>г. Мурманск, ул. им. Генерала А.А. Журбы, д. 4</t>
  </si>
  <si>
    <t>г. Мурманск, ул. имени Гаджиева, д. 8</t>
  </si>
  <si>
    <t>г. Мурманск, ул. Полярные Зори, д. 7</t>
  </si>
  <si>
    <t>г. Мурманск, пр. Кольский, д. 162</t>
  </si>
  <si>
    <t>г. Мурманск, пр-зд Связи, д. 16</t>
  </si>
  <si>
    <t>г. Мурманск, ул. Зои Космодемьянской, д. 1</t>
  </si>
  <si>
    <t>г. Мурманск, ул. Фадеев Ручей, д. 26</t>
  </si>
  <si>
    <t>г. Мурманск, ул. Фестивальная, д. 9</t>
  </si>
  <si>
    <t>г. Мурманск, ул. Крупской, д. 54</t>
  </si>
  <si>
    <t>г. Мурманск, пер. Якорный, д. 6</t>
  </si>
  <si>
    <t>г. Мурманск, ш. Верхне-Ростинское, д. 13</t>
  </si>
  <si>
    <t>г. Оленегорск, ул. Ветеранов, д. 6</t>
  </si>
  <si>
    <t>г. Оленегорск, ул. Капитана Иванова, д. 5</t>
  </si>
  <si>
    <t>г. Оленегорск, ул. Мира, д. 5</t>
  </si>
  <si>
    <t>г. Оленегорск, ул. Мира, д. 12</t>
  </si>
  <si>
    <t>нп Высокий, ул. Можаева, д. 17</t>
  </si>
  <si>
    <t>г. Оленегорск, ул. Строительная, д. 72</t>
  </si>
  <si>
    <t>г. Оленегорск, ул. Южная, д. 5</t>
  </si>
  <si>
    <t>г. Мурманск, ул. Гвардейская, д. 7</t>
  </si>
  <si>
    <t>ЗАТО п. Видяево, ул. Заречная, д. 7</t>
  </si>
  <si>
    <t>ЗАТО п. Видяево, ул. Заречная, д. 34</t>
  </si>
  <si>
    <t>Итого по Мурманской области на 2017 год:</t>
  </si>
  <si>
    <t>Итого по муниципальному образованию на 2017 год:</t>
  </si>
  <si>
    <t>Итого Терский муниципальный район на 2017 год:</t>
  </si>
  <si>
    <t>Итого Ловозерский муниципальный район на 2017 год:</t>
  </si>
  <si>
    <t>Итого Кольский муниципальный район на 2017 год:</t>
  </si>
  <si>
    <t>Итого Кандалакшский муниципальный район на 2017 год:</t>
  </si>
  <si>
    <t>ЗАТО г. Заозерск, ул. Колышкина, д. 14</t>
  </si>
  <si>
    <t>с. Алакуртти, наб. Нижняя, д. 5</t>
  </si>
  <si>
    <t>с. Алакуртти, ул. Кузнецова, д. 17</t>
  </si>
  <si>
    <t>Панельный</t>
  </si>
  <si>
    <t>г. Полярные Зори, пр-кт Нивский, д. 10</t>
  </si>
  <si>
    <t>г. Полярные Зори, пр-кт Нивский, д. 14</t>
  </si>
  <si>
    <t>г. Полярные Зори, ул. Ломоносова, д. 25, корп.1</t>
  </si>
  <si>
    <t>г. Полярные Зори, ул. Ломоносова, д. 25, корп.2</t>
  </si>
  <si>
    <t>г. Полярные Зори, ул. Партизан Заполярья, д. 7</t>
  </si>
  <si>
    <t>нп Африканда, ул. Комсомольская, д. 7</t>
  </si>
  <si>
    <t>нп Африканда, ул. Комсомольская, д. 8</t>
  </si>
  <si>
    <t>нп Зашеек, ул. Школьная, д. 10</t>
  </si>
  <si>
    <t>нп Африканда, ул. Первомайская, д. 7</t>
  </si>
  <si>
    <t>нп Африканда, ул. Советская, д. 9</t>
  </si>
  <si>
    <t xml:space="preserve">деревянные </t>
  </si>
  <si>
    <t>пгт Зеленоборский, ул. Заводская, д. 12</t>
  </si>
  <si>
    <t>нп Лесозаводский, ул. Центральная, д. 41</t>
  </si>
  <si>
    <t>пгт Зеленоборский, ул. Магистральная, д. 90</t>
  </si>
  <si>
    <t>пгт Зеленоборский, ул. Привокзальная, д. 10</t>
  </si>
  <si>
    <t>кирпич</t>
  </si>
  <si>
    <t>г. Кандалакша, ул. Чкалова, д. 39</t>
  </si>
  <si>
    <t>г. Кандалакша, ул. Кировская, д. 37</t>
  </si>
  <si>
    <t>г. Кандалакша, ул. Букина, д. 5</t>
  </si>
  <si>
    <t>г. Кандалакша, ул. Кировская аллея, д. 11</t>
  </si>
  <si>
    <t>г. Кандалакша, ул. Кировская аллея, д. 12</t>
  </si>
  <si>
    <t>пгт Верхнетуломский, ул. Падунская, д. 2</t>
  </si>
  <si>
    <t xml:space="preserve"> кирпич</t>
  </si>
  <si>
    <t>г. Кола, ул. Кривошеева, д. 9</t>
  </si>
  <si>
    <t>г. Кола, ул. Кривошеева, д. 11</t>
  </si>
  <si>
    <t>г. Кола, ул. Кривошеева, д. 6</t>
  </si>
  <si>
    <t>пгт Молочный, ул. Заречная, д. 3</t>
  </si>
  <si>
    <t>пгт Молочный, ул. Заречная, д. 6</t>
  </si>
  <si>
    <t xml:space="preserve">пгт Молочный, ул. Гальченко, д. 9 </t>
  </si>
  <si>
    <t>г. Кола, пр-кт Советский, д. 37</t>
  </si>
  <si>
    <t>г. Кола, пр-кт Советский, д. 15</t>
  </si>
  <si>
    <t>г. Кола, пр-кт Советский, д. 39</t>
  </si>
  <si>
    <t>г. Кола, пр-кт Советский, д. 42</t>
  </si>
  <si>
    <t>г. Кола, пр-кт Миронова, д. 22</t>
  </si>
  <si>
    <t>пгт Молочный, ул. Гальченко, д.13</t>
  </si>
  <si>
    <t>пгт Молочный, ул. Северная, д. 6</t>
  </si>
  <si>
    <t>г. Гаджиево, ул. Колышкина, д. 116</t>
  </si>
  <si>
    <t>г. Гаджиево, ул. Душенова, д. 87</t>
  </si>
  <si>
    <t>г. Гаджиево, ул. Душенова, д. 88</t>
  </si>
  <si>
    <t>г. Гаджиево, ул. Душенова, д. 90</t>
  </si>
  <si>
    <t>г. Гаджиево, ул. Мира, д. 80</t>
  </si>
  <si>
    <t>г. Гаджиево, ул. Мира, д. 81</t>
  </si>
  <si>
    <t>г. Гаджиево, ул. Колышкина, д. 129</t>
  </si>
  <si>
    <t>г. Снежногорск, мкр. Скальный, д. 3</t>
  </si>
  <si>
    <t>г. Снежногорск, ул. Победы, д. 1/1</t>
  </si>
  <si>
    <t>г. Снежногорск, ул. Бирюкова, д. 11</t>
  </si>
  <si>
    <t>г. Снежногорск, ул. Октябрьская, д. 8</t>
  </si>
  <si>
    <t>г. Снежногорск, ул. Октябрьская, д. 10</t>
  </si>
  <si>
    <t>г. Снежногорск, ул. П. Стеблина, д. 35</t>
  </si>
  <si>
    <t>г. Снежногорск, ул. Октябрьская, д. 7</t>
  </si>
  <si>
    <t>г. Полярный, ул. Красный Горн, д. 21</t>
  </si>
  <si>
    <t>г. Полярный, ул. Героев "Тумана", д. 12</t>
  </si>
  <si>
    <t>г. Полярный, ул. Сивко, д. 1</t>
  </si>
  <si>
    <t>г. Полярный, ул. Сивко, д. 3</t>
  </si>
  <si>
    <t xml:space="preserve">г. Полярный, ул. Видяева, д. 11 </t>
  </si>
  <si>
    <t>г. Полярный, ул. Лунина, д. 7</t>
  </si>
  <si>
    <t>г. Полярный, ул. Советская, д. 2</t>
  </si>
  <si>
    <t>г. Полярный, ул. Фисановича, д. 1</t>
  </si>
  <si>
    <t>г. Полярный, ул. Фисановича, д. 3</t>
  </si>
  <si>
    <t>г. Полярный, ул. Душенова, д. 7</t>
  </si>
  <si>
    <t>г. Полярный, ул. Красный Горн, д. 19</t>
  </si>
  <si>
    <t xml:space="preserve">г. Полярный, ул. Сивко, д. 5 </t>
  </si>
  <si>
    <t xml:space="preserve">г. Гаджиево, ул. Душенова, д. 91 </t>
  </si>
  <si>
    <t>крупнопанельные</t>
  </si>
  <si>
    <t>крупнопанельные+кирпич</t>
  </si>
  <si>
    <t>5</t>
  </si>
  <si>
    <t>ВДИС</t>
  </si>
  <si>
    <t>крыша</t>
  </si>
  <si>
    <t>фасад</t>
  </si>
  <si>
    <t>г. Мончегорск, ул. Бредова, д. 15</t>
  </si>
  <si>
    <t>г. Мончегорск, пр. Металлургов, д. 22</t>
  </si>
  <si>
    <t>г. Мончегорск, ул. Бредова, д. 28</t>
  </si>
  <si>
    <t xml:space="preserve">г. Мончегорск, ул. Бредова, д. 5 </t>
  </si>
  <si>
    <t>г. Мончегорск, ул. Бредова, д. 26</t>
  </si>
  <si>
    <t>г. Мончегорск, ул. Ферсмана, д. 5</t>
  </si>
  <si>
    <t>шлакобл.</t>
  </si>
  <si>
    <t>нп Оленья Губа, ул. Дьяченко, д. 41</t>
  </si>
  <si>
    <t>г. Полярный, ул. Лунина, д. 12</t>
  </si>
  <si>
    <t>пгт Мурмаши, ул. Советская, д. 31</t>
  </si>
  <si>
    <t>пгт Мурмаши, ул. Советская, д. 15</t>
  </si>
  <si>
    <t>пгт Мурмаши, ул. Московская, д. 16</t>
  </si>
  <si>
    <t>пгт Мурмаши, ул. Советская, д. 6</t>
  </si>
  <si>
    <t>пгт Мурмаши, ул. Молодежная, д. 1</t>
  </si>
  <si>
    <t>деревянные</t>
  </si>
  <si>
    <t>Муниципальное образование сельское поселение Териберка Кольского района</t>
  </si>
  <si>
    <t xml:space="preserve">с. Териберка, ул. Пионерская, д. 7 
</t>
  </si>
  <si>
    <t>с. Ловозеро, ул. Вокуева, д. 9</t>
  </si>
  <si>
    <t>пгт Ревда, ул. Комсомольская, д. 17</t>
  </si>
  <si>
    <t>Кирпич</t>
  </si>
  <si>
    <t>Панель</t>
  </si>
  <si>
    <t>нп Минькино, д. 150а</t>
  </si>
  <si>
    <t>нп Мишуково, д. 2а</t>
  </si>
  <si>
    <t>кирпичный</t>
  </si>
  <si>
    <t>панельный</t>
  </si>
  <si>
    <t>с.п. Пушной, ул. Центральная, д. 12</t>
  </si>
  <si>
    <t>пгт Ревда, ул. Комсомольская, д. 19</t>
  </si>
  <si>
    <t xml:space="preserve">г. Полярный, ул. Моисеева, д. 4 </t>
  </si>
  <si>
    <t>пгт Никель, пр-кт Гвардейский, д. 8</t>
  </si>
  <si>
    <t>пгт Никель, ул. 14 Армии, д. 10</t>
  </si>
  <si>
    <t>пгт Никель, ул. Октябрьская, д. 6</t>
  </si>
  <si>
    <t>пгт Никель, пр-кт Гвардейский, д. 25</t>
  </si>
  <si>
    <t>пгт Никель, пр-кт Гвардейский, д. 12</t>
  </si>
  <si>
    <t>пгт Никель, пр-кт Гвардейский, д. 14</t>
  </si>
  <si>
    <t>пгт Никель, ул. Победы, д. 13</t>
  </si>
  <si>
    <t>пгт Никель, пр-кт Гвардейский, д. 13</t>
  </si>
  <si>
    <t>пгт Никель, пр-кт Гвардейский, д. 10</t>
  </si>
  <si>
    <t>пгт Никель, ул. Бредова, д. 1</t>
  </si>
  <si>
    <t>пгт Никель, пр-кт Гвардейский, д. 17</t>
  </si>
  <si>
    <t>пгт Никель, пр-кт Гвардейский, д. 18</t>
  </si>
  <si>
    <t>пгт Никель, пр-кт Гвардейский, д. 2</t>
  </si>
  <si>
    <t>пгт Никель, ул. Советская, д. 10</t>
  </si>
  <si>
    <t>пгт Никель, пер. Молодежный, д. 9</t>
  </si>
  <si>
    <t>пгт Никель, ул. Советская, д. 7а</t>
  </si>
  <si>
    <t>пгт Никель, ул. Советская, д. 7б</t>
  </si>
  <si>
    <t>пгт Кильдинстрой, ул. Советская, д. 12</t>
  </si>
  <si>
    <t>ж/д ст. Магнетиты, ул. Зеленая, д. 4</t>
  </si>
  <si>
    <t>г.п. Умба, ул. Беломорская, д. 6</t>
  </si>
  <si>
    <t>г.п. Умба, ул. Беломорская, д. 7а</t>
  </si>
  <si>
    <t>г.п. Умба, ул. Совхозная, д. 17б</t>
  </si>
  <si>
    <t>г. Североморск, ул. Северная Застава, д. 6</t>
  </si>
  <si>
    <t>г. Североморск, ул. Северная Застава, д. 18</t>
  </si>
  <si>
    <t>г. Североморск, ул. Адмирала Сизова, д. 2</t>
  </si>
  <si>
    <t>г. Североморск, ул. Адмирала Сизова, д. 3</t>
  </si>
  <si>
    <t>г. Североморск, ул. Адмирала Сизова, д. 17</t>
  </si>
  <si>
    <t>г. Североморск, ул. Адмирала Сизова, д. 21</t>
  </si>
  <si>
    <t>г. Североморск, ул. Северная Застава, д. 32</t>
  </si>
  <si>
    <t>г. Североморск, ул. Колышкина, д. 7</t>
  </si>
  <si>
    <t>г. Североморск, ул. Колышкина, д. 9</t>
  </si>
  <si>
    <t>г. Североморск, ул. Колышкина, д. 14</t>
  </si>
  <si>
    <t>г. Североморск, ул. Кирова, д. 18</t>
  </si>
  <si>
    <t>г. Североморск, ул. Гаджиева, д. 11</t>
  </si>
  <si>
    <t>г. Североморск, ул. Гвардейская, д. 35</t>
  </si>
  <si>
    <t>г. Североморск, ул. Фулика, д. 3</t>
  </si>
  <si>
    <t>г. Североморск, ул. Фулика, д. 4</t>
  </si>
  <si>
    <t>г. Североморск, ул. Советская, д. 10</t>
  </si>
  <si>
    <t>г. Североморск, ул. Флотских Строителей, д. 2</t>
  </si>
  <si>
    <t>г. Североморск, ул. Кортик, д. 12</t>
  </si>
  <si>
    <t>пгт Сафоново, ул. Панина, д. 10</t>
  </si>
  <si>
    <t>г. Североморск, ул. Комсомольская, д. 26</t>
  </si>
  <si>
    <t>кр.пан.</t>
  </si>
  <si>
    <t>кирп.</t>
  </si>
  <si>
    <t>г. Мурманск, ул. Шевченко, д. 7а</t>
  </si>
  <si>
    <t>г. Гаджиево, ул. Ленина, д. 76</t>
  </si>
  <si>
    <t>г. Гаджиево, наб. С. Преминина, д. 111</t>
  </si>
  <si>
    <t>г. Гаджиево, наб. С. Преминина, д. 123</t>
  </si>
  <si>
    <t>г. Гаджиево, наб. С. Преминина, д. 119</t>
  </si>
  <si>
    <t>пгт Сафоново, ул. Школьная, д. 9</t>
  </si>
  <si>
    <t>пгт Сафоново, ул. Преображенского, д. 3</t>
  </si>
  <si>
    <t>г. Мончегорск, ул. Бредова, д. 15а</t>
  </si>
  <si>
    <t>г. Мончегорск, пр. Металлургов, д. 68</t>
  </si>
  <si>
    <t>г. Североморск, ул. Душенова, д. 28</t>
  </si>
  <si>
    <t>Итого Печенгский муниципальный район на 2017 год:</t>
  </si>
  <si>
    <t>г. Мурманск, ул. Юрия Гагарина, д. 9, корп. 3</t>
  </si>
  <si>
    <t>г. Мурманск, ул. Юрия Гагарина, д. 9, корп. 2</t>
  </si>
  <si>
    <t>г. Мурманск, пр. Кольский, д. 104, корп. 1</t>
  </si>
  <si>
    <t>г. Заполярный, пер. Ясный, д. 6</t>
  </si>
  <si>
    <t>г. Заполярный, ул. Бабикова, д. 7/1</t>
  </si>
  <si>
    <t>г. Заполярный, ул. Бабикова, д. 15</t>
  </si>
  <si>
    <t>г. Заполярный, ул. Бабикова, д. 17</t>
  </si>
  <si>
    <t>г. Заполярный, ул. Карла Маркса, д. 3</t>
  </si>
  <si>
    <t>г. Заполярный, ул. Карла Маркса, д. 9</t>
  </si>
  <si>
    <t>г. Заполярный, ул. Космонавтов, д. 6</t>
  </si>
  <si>
    <t>г. Заполярный, ул. Космонавтов, д. 12</t>
  </si>
  <si>
    <t>г. Заполярный, ул. Крупской, д. 3</t>
  </si>
  <si>
    <t>г. Заполярный, ул. Крупской, д. 5</t>
  </si>
  <si>
    <t>г. Заполярный, ул. Ленина, д. 9</t>
  </si>
  <si>
    <t>г. Заполярный, ул. Ленина, д. 10</t>
  </si>
  <si>
    <t>г. Заполярный, ул. Ленина, д. 13</t>
  </si>
  <si>
    <t>г. Заполярный, ул. Мира, д. 2</t>
  </si>
  <si>
    <t>г. Заполярный, ул. Сафонова, д. 2</t>
  </si>
  <si>
    <t>г. Мурманск, пр. Героев-Североморцев, д. 7, корп. 1</t>
  </si>
  <si>
    <t>г. Мурманск, ул. Героев Рыбачьего, д. 35, корп. 1</t>
  </si>
  <si>
    <t>г. Мурманск, ул. имени Героя Советского Союза Сивко И.М., д. 9, корп. 2</t>
  </si>
  <si>
    <t>г. Мурманск, ул. Крупской, д. 40а</t>
  </si>
  <si>
    <t>г. Мурманск, ул. Свердлова, д. 10, корп. 1</t>
  </si>
  <si>
    <t>г. Мурманск, ул. Свердлова, д. 10, корп. 2</t>
  </si>
  <si>
    <t>г. Мурманск, ул. Свердлова, д. 10, корп. 3</t>
  </si>
  <si>
    <t>г. Мурманск, ул. Свердлова, д. 14, корп. 1</t>
  </si>
  <si>
    <t>г. Мурманск, ул. Свердлова, д. 6, корп. 1</t>
  </si>
  <si>
    <t xml:space="preserve">г. Мурманск, ул. Шмидта, д. 1, корп. 1 </t>
  </si>
  <si>
    <t>1970</t>
  </si>
  <si>
    <t>1972</t>
  </si>
  <si>
    <t>1971</t>
  </si>
  <si>
    <t>1952</t>
  </si>
  <si>
    <t>1975</t>
  </si>
  <si>
    <t>1953</t>
  </si>
  <si>
    <t>1947</t>
  </si>
  <si>
    <t>1991</t>
  </si>
  <si>
    <t>1951</t>
  </si>
  <si>
    <t>1948</t>
  </si>
  <si>
    <t>г. Мурманск, ул. Кильдинская, д. 21</t>
  </si>
  <si>
    <t>г. Мончегорск, наб. Климентьева, д. 3</t>
  </si>
  <si>
    <t>г. Заполярный, ул. Юбилейная, д. 4</t>
  </si>
  <si>
    <t>г. Кандалакша, ул. Фрунзе, д. 8</t>
  </si>
  <si>
    <t>г. Мончегорск, ул. Бредова, д. 5а</t>
  </si>
  <si>
    <t>г. Оленегорск, ул. Бардина, д. 36</t>
  </si>
  <si>
    <t>882,1/2786,90</t>
  </si>
  <si>
    <t>ОКН</t>
  </si>
  <si>
    <t>Адресный перечень многоквартирных домов, в отношении которых планируется проведение капитального ремонта общего имущества</t>
  </si>
  <si>
    <t>Объекты культурного наследия *</t>
  </si>
  <si>
    <t>Сводный краткосрочный план реализации региональной программы капитального ремонта общего имущества в многоквартирных домах, расположенных на территории Мурманской области, на 2017 год</t>
  </si>
  <si>
    <t xml:space="preserve">постановлением Правительства </t>
  </si>
  <si>
    <t>*  Завершение капитального ремонта общего имущества в многоквартирных домах, являющихся объектами культурного наследия, возможно не позднее, чем 31 декабря года, следующего за годом, в котором запланировано начало работ.</t>
  </si>
  <si>
    <t>г. Мурманск, ул. имени Ивана Ивановича Александрова,                                                                                                                                                                                                                       д. 40</t>
  </si>
  <si>
    <t>УТВЕРЖДЕН</t>
  </si>
  <si>
    <t>** Предельная стоимость работ, выполняемых за счет средств фонда капитального ремонта, формируемого на счете НКО «ФКР МО»,  расчитывается на дату проведения конкурсного отбора подрядной организации в соответствии с предельной стоимостью работ, установленной постановлением Правительства Мурманской области.</t>
  </si>
  <si>
    <t>г. Мурманск, пр. Ленина, д. 72</t>
  </si>
  <si>
    <t>г. Мурманск, ул. Пищевиков, д. 9</t>
  </si>
  <si>
    <t>г. Мурманск, ул. Туристов, д. 45</t>
  </si>
  <si>
    <t>г. Мурманск, ул. Туристов, д. 47</t>
  </si>
  <si>
    <t>г. Мурманск, ул. Туристов, д. 49</t>
  </si>
  <si>
    <t>г. Мурманск, ул. Туристов, д. 51</t>
  </si>
  <si>
    <t>г. Мурманск, ул. Шмидта, д. 33а</t>
  </si>
  <si>
    <t>г. Мурманск, пр. Ленина, д. 20</t>
  </si>
  <si>
    <t>г. Мурманск, пр. Ленина, д. 22</t>
  </si>
  <si>
    <t>Муниципальное образование сельское поселение Тулома Кольского района</t>
  </si>
  <si>
    <t xml:space="preserve">с.п. Тулома, ул. Ручьевая, д. 1 </t>
  </si>
  <si>
    <t>с.п. Тулома, ул. Ручьевая, д. 2</t>
  </si>
  <si>
    <t>ЗАТО г. Заозерск, ул. Колышкина, д. 7</t>
  </si>
  <si>
    <t>ЗАТО г. Островной, ул. Освобождения, д. 1</t>
  </si>
  <si>
    <t>г. Апатиты, ул. Ленина, д. 16</t>
  </si>
  <si>
    <t>г. Полярный, ул. Видяева, д. 7</t>
  </si>
  <si>
    <t>1931</t>
  </si>
  <si>
    <t>4</t>
  </si>
  <si>
    <t>г. Заполярный, пер. Стрельцова, д. 3</t>
  </si>
  <si>
    <t xml:space="preserve">Способ формирования фонда капитального ремонта - спецсчет </t>
  </si>
  <si>
    <t>да</t>
  </si>
  <si>
    <t>Муниципальное образование городское поселение Печенга Печенгского района</t>
  </si>
  <si>
    <t> 1968</t>
  </si>
  <si>
    <t>пгт Зеленоборский, Княжая Губа, ул. Первомайская, д. 5а</t>
  </si>
  <si>
    <t xml:space="preserve">г. Североморск, ул. Сафонова, д. 6 </t>
  </si>
  <si>
    <t xml:space="preserve">г. Мурманск, ул. Капитана Маклакова, д. 20 </t>
  </si>
  <si>
    <t>пгт Нивский, ул. Букина, д. 1</t>
  </si>
  <si>
    <t>г. Североморск, ул. Сафонова, д. 8</t>
  </si>
  <si>
    <t>от  __________ № ______</t>
  </si>
  <si>
    <t>г. Мурманск, пр. Ленина, д. 67</t>
  </si>
  <si>
    <t>нп Африканда, ул. Советская, д. 3</t>
  </si>
  <si>
    <t>нп Африканда, ул. Советская, д. 7</t>
  </si>
  <si>
    <t>нп Африканда, ул. Первомайская, д. 5</t>
  </si>
  <si>
    <t>г. Североморск, ул. Сафонова, д. 7</t>
  </si>
  <si>
    <t>г. Североморск, ул. Сафонова, д. 9</t>
  </si>
  <si>
    <t>г. Североморск, ул. Сафонова, д. 11</t>
  </si>
  <si>
    <t>г. Североморск, ул. Фулика, д. 5</t>
  </si>
  <si>
    <t>г. Кандалакша, ул. Кировская, д. 23</t>
  </si>
  <si>
    <t>нп Белое Море, д. 4</t>
  </si>
  <si>
    <t>нп Лиинахамари, ул. Шабалина, д. 2</t>
  </si>
  <si>
    <t>нп Лиинахамари, ул. Северная, д. 2</t>
  </si>
  <si>
    <t>нп Лиинахамари, ул. Шабалина, д. 11</t>
  </si>
  <si>
    <t>г. Полярные Зори, пр-кт Нивский, д. 13</t>
  </si>
  <si>
    <t xml:space="preserve">нп Зашеек, ул. Северная аллея, д. 1 </t>
  </si>
</sst>
</file>

<file path=xl/styles.xml><?xml version="1.0" encoding="utf-8"?>
<styleSheet xmlns="http://schemas.openxmlformats.org/spreadsheetml/2006/main">
  <numFmts count="10">
    <numFmt numFmtId="43" formatCode="_-* #,##0.00_р_._-;\-* #,##0.00_р_._-;_-* &quot;-&quot;??_р_._-;_-@_-"/>
    <numFmt numFmtId="164" formatCode="[$-419]General"/>
    <numFmt numFmtId="165" formatCode="_-* #,##0.000_р_._-;\-* #,##0.000_р_._-;_-* &quot;-&quot;??_р_._-;_-@_-"/>
    <numFmt numFmtId="166" formatCode="#,##0.0"/>
    <numFmt numFmtId="167" formatCode="0.0"/>
    <numFmt numFmtId="168" formatCode="_-* #,##0.0_р_._-;\-* #,##0.0_р_._-;_-* &quot;-&quot;??_р_._-;_-@_-"/>
    <numFmt numFmtId="169" formatCode="#,##0.00;[Red]#,##0.00"/>
    <numFmt numFmtId="170" formatCode="#,##0.0_ ;\-#,##0.0\ "/>
    <numFmt numFmtId="171" formatCode="_-* #,##0.0000_р_._-;\-* #,##0.0000_р_._-;_-* &quot;-&quot;??_р_._-;_-@_-"/>
    <numFmt numFmtId="172" formatCode="_-* #,##0_р_._-;\-* #,##0_р_._-;_-* &quot;-&quot;??_р_._-;_-@_-"/>
  </numFmts>
  <fonts count="44"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3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6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4BD5E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indexed="26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/>
      <right style="thin">
        <color indexed="0"/>
      </right>
      <top style="thin">
        <color indexed="64"/>
      </top>
      <bottom/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0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indexed="0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2">
    <xf numFmtId="0" fontId="0" fillId="0" borderId="0" applyNumberFormat="0" applyBorder="0" applyProtection="0">
      <alignment horizontal="left" vertical="center" wrapText="1"/>
    </xf>
    <xf numFmtId="164" fontId="16" fillId="0" borderId="0" applyBorder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7" fillId="8" borderId="25" applyNumberFormat="0" applyAlignment="0" applyProtection="0"/>
    <xf numFmtId="0" fontId="18" fillId="9" borderId="26" applyNumberFormat="0" applyAlignment="0" applyProtection="0"/>
    <xf numFmtId="0" fontId="19" fillId="9" borderId="25" applyNumberFormat="0" applyAlignment="0" applyProtection="0"/>
    <xf numFmtId="0" fontId="20" fillId="0" borderId="27" applyNumberFormat="0" applyFill="0" applyAlignment="0" applyProtection="0"/>
    <xf numFmtId="0" fontId="21" fillId="0" borderId="28" applyNumberFormat="0" applyFill="0" applyAlignment="0" applyProtection="0"/>
    <xf numFmtId="0" fontId="22" fillId="0" borderId="2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0" applyNumberFormat="0" applyFill="0" applyAlignment="0" applyProtection="0"/>
    <xf numFmtId="0" fontId="24" fillId="10" borderId="31" applyNumberFormat="0" applyAlignment="0" applyProtection="0"/>
    <xf numFmtId="0" fontId="25" fillId="0" borderId="0" applyNumberFormat="0" applyFill="0" applyBorder="0" applyAlignment="0" applyProtection="0"/>
    <xf numFmtId="0" fontId="26" fillId="11" borderId="0" applyNumberFormat="0" applyBorder="0" applyAlignment="0" applyProtection="0"/>
    <xf numFmtId="0" fontId="9" fillId="0" borderId="0"/>
    <xf numFmtId="0" fontId="2" fillId="0" borderId="0" applyNumberFormat="0" applyBorder="0" applyProtection="0">
      <alignment horizontal="left" vertical="center" wrapText="1"/>
    </xf>
    <xf numFmtId="0" fontId="2" fillId="0" borderId="0" applyNumberFormat="0" applyBorder="0" applyProtection="0">
      <alignment horizontal="left" vertical="center" wrapText="1"/>
    </xf>
    <xf numFmtId="0" fontId="27" fillId="12" borderId="0" applyNumberFormat="0" applyBorder="0" applyAlignment="0" applyProtection="0"/>
    <xf numFmtId="0" fontId="28" fillId="0" borderId="0" applyNumberFormat="0" applyFill="0" applyBorder="0" applyAlignment="0" applyProtection="0"/>
    <xf numFmtId="0" fontId="14" fillId="13" borderId="32" applyNumberFormat="0" applyFont="0" applyAlignment="0" applyProtection="0"/>
    <xf numFmtId="0" fontId="29" fillId="0" borderId="33" applyNumberFormat="0" applyFill="0" applyAlignment="0" applyProtection="0"/>
    <xf numFmtId="0" fontId="30" fillId="0" borderId="0" applyNumberFormat="0" applyFill="0" applyBorder="0" applyAlignment="0" applyProtection="0"/>
    <xf numFmtId="43" fontId="2" fillId="0" borderId="0" applyFont="0" applyFill="0" applyBorder="0" applyAlignment="0" applyProtection="0">
      <alignment horizontal="left" vertical="center" wrapText="1"/>
    </xf>
    <xf numFmtId="43" fontId="2" fillId="0" borderId="0" applyFont="0" applyFill="0" applyBorder="0" applyAlignment="0" applyProtection="0">
      <alignment horizontal="left" vertical="center" wrapText="1"/>
    </xf>
    <xf numFmtId="0" fontId="31" fillId="14" borderId="0" applyNumberFormat="0" applyBorder="0" applyAlignment="0" applyProtection="0"/>
    <xf numFmtId="0" fontId="2" fillId="0" borderId="0" applyNumberFormat="0" applyBorder="0" applyProtection="0">
      <alignment horizontal="left" vertical="center"/>
    </xf>
    <xf numFmtId="0" fontId="1" fillId="13" borderId="32" applyNumberFormat="0" applyFont="0" applyAlignment="0" applyProtection="0"/>
  </cellStyleXfs>
  <cellXfs count="423">
    <xf numFmtId="0" fontId="0" fillId="0" borderId="0" xfId="0">
      <alignment horizontal="left" vertical="center" wrapText="1"/>
    </xf>
    <xf numFmtId="43" fontId="7" fillId="15" borderId="0" xfId="27" applyFont="1" applyFill="1" applyBorder="1" applyAlignment="1">
      <alignment horizontal="right" vertical="center" wrapText="1"/>
    </xf>
    <xf numFmtId="0" fontId="0" fillId="15" borderId="0" xfId="0" applyFill="1">
      <alignment horizontal="left" vertical="center" wrapText="1"/>
    </xf>
    <xf numFmtId="43" fontId="7" fillId="15" borderId="0" xfId="27" applyFont="1" applyFill="1" applyBorder="1" applyAlignment="1">
      <alignment horizontal="center" vertical="center" wrapText="1"/>
    </xf>
    <xf numFmtId="0" fontId="0" fillId="15" borderId="0" xfId="0" applyFill="1" applyAlignment="1">
      <alignment horizontal="left" vertical="top" wrapText="1"/>
    </xf>
    <xf numFmtId="0" fontId="0" fillId="15" borderId="0" xfId="0" applyFill="1" applyAlignment="1">
      <alignment horizontal="center" vertical="top" wrapText="1"/>
    </xf>
    <xf numFmtId="0" fontId="0" fillId="15" borderId="0" xfId="0" applyFill="1" applyAlignment="1">
      <alignment horizontal="right" vertical="top" wrapText="1"/>
    </xf>
    <xf numFmtId="43" fontId="2" fillId="15" borderId="0" xfId="27" applyNumberFormat="1" applyFont="1" applyFill="1" applyAlignment="1">
      <alignment horizontal="right" vertical="top" wrapText="1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right" vertical="center" wrapText="1"/>
    </xf>
    <xf numFmtId="43" fontId="2" fillId="15" borderId="0" xfId="27" applyNumberFormat="1" applyFont="1" applyFill="1" applyAlignment="1">
      <alignment horizontal="right" vertical="center" wrapText="1"/>
    </xf>
    <xf numFmtId="0" fontId="6" fillId="15" borderId="0" xfId="0" applyFont="1" applyFill="1">
      <alignment horizontal="left" vertical="center" wrapText="1"/>
    </xf>
    <xf numFmtId="0" fontId="6" fillId="15" borderId="0" xfId="0" applyFont="1" applyFill="1" applyAlignment="1">
      <alignment horizontal="center" vertical="center" wrapText="1"/>
    </xf>
    <xf numFmtId="0" fontId="6" fillId="15" borderId="0" xfId="0" applyFont="1" applyFill="1" applyAlignment="1">
      <alignment horizontal="right" vertical="center" wrapText="1"/>
    </xf>
    <xf numFmtId="43" fontId="6" fillId="15" borderId="0" xfId="27" applyNumberFormat="1" applyFont="1" applyFill="1" applyAlignment="1">
      <alignment horizontal="right" vertical="center" wrapText="1"/>
    </xf>
    <xf numFmtId="0" fontId="4" fillId="15" borderId="0" xfId="0" applyFont="1" applyFill="1" applyAlignment="1">
      <alignment horizontal="center" vertical="center" wrapText="1"/>
    </xf>
    <xf numFmtId="0" fontId="4" fillId="15" borderId="0" xfId="0" applyFont="1" applyFill="1" applyAlignment="1">
      <alignment horizontal="right" vertical="center" wrapText="1"/>
    </xf>
    <xf numFmtId="43" fontId="4" fillId="15" borderId="0" xfId="27" applyNumberFormat="1" applyFont="1" applyFill="1" applyAlignment="1">
      <alignment horizontal="right" vertical="center" wrapText="1"/>
    </xf>
    <xf numFmtId="0" fontId="6" fillId="15" borderId="5" xfId="0" applyFont="1" applyFill="1" applyBorder="1" applyAlignment="1">
      <alignment horizontal="center" vertical="center" textRotation="90" wrapText="1"/>
    </xf>
    <xf numFmtId="43" fontId="6" fillId="15" borderId="5" xfId="27" applyNumberFormat="1" applyFont="1" applyFill="1" applyBorder="1" applyAlignment="1">
      <alignment horizontal="center" vertical="center" wrapText="1"/>
    </xf>
    <xf numFmtId="0" fontId="6" fillId="15" borderId="5" xfId="27" applyNumberFormat="1" applyFont="1" applyFill="1" applyBorder="1" applyAlignment="1">
      <alignment horizontal="center" vertical="center" wrapText="1"/>
    </xf>
    <xf numFmtId="14" fontId="6" fillId="15" borderId="5" xfId="0" applyNumberFormat="1" applyFont="1" applyFill="1" applyBorder="1" applyAlignment="1">
      <alignment horizontal="center" vertical="center" wrapText="1"/>
    </xf>
    <xf numFmtId="43" fontId="7" fillId="15" borderId="1" xfId="27" applyFont="1" applyFill="1" applyBorder="1" applyAlignment="1">
      <alignment horizontal="center" vertical="center" wrapText="1"/>
    </xf>
    <xf numFmtId="0" fontId="6" fillId="15" borderId="0" xfId="0" applyFont="1" applyFill="1" applyBorder="1" applyAlignment="1">
      <alignment horizontal="center" vertical="center" wrapText="1"/>
    </xf>
    <xf numFmtId="0" fontId="0" fillId="15" borderId="0" xfId="0" applyFont="1" applyFill="1">
      <alignment horizontal="left" vertical="center" wrapText="1"/>
    </xf>
    <xf numFmtId="0" fontId="6" fillId="15" borderId="6" xfId="0" applyFont="1" applyFill="1" applyBorder="1" applyAlignment="1">
      <alignment horizontal="left" vertical="center" wrapText="1"/>
    </xf>
    <xf numFmtId="43" fontId="7" fillId="15" borderId="1" xfId="27" applyNumberFormat="1" applyFont="1" applyFill="1" applyBorder="1" applyAlignment="1">
      <alignment horizontal="right" vertical="center" wrapText="1"/>
    </xf>
    <xf numFmtId="43" fontId="7" fillId="15" borderId="1" xfId="27" applyFont="1" applyFill="1" applyBorder="1" applyAlignment="1">
      <alignment horizontal="right" vertical="center" wrapText="1"/>
    </xf>
    <xf numFmtId="0" fontId="3" fillId="15" borderId="0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6" fillId="15" borderId="1" xfId="0" applyFont="1" applyFill="1" applyBorder="1">
      <alignment horizontal="left" vertical="center" wrapText="1"/>
    </xf>
    <xf numFmtId="43" fontId="6" fillId="15" borderId="6" xfId="27" applyFont="1" applyFill="1" applyBorder="1" applyAlignment="1">
      <alignment horizontal="right" vertical="center" wrapText="1"/>
    </xf>
    <xf numFmtId="166" fontId="6" fillId="15" borderId="5" xfId="0" applyNumberFormat="1" applyFont="1" applyFill="1" applyBorder="1" applyAlignment="1">
      <alignment horizontal="right" vertical="center" wrapText="1"/>
    </xf>
    <xf numFmtId="166" fontId="6" fillId="15" borderId="1" xfId="0" applyNumberFormat="1" applyFont="1" applyFill="1" applyBorder="1" applyAlignment="1">
      <alignment horizontal="right" vertical="center" wrapText="1"/>
    </xf>
    <xf numFmtId="165" fontId="6" fillId="15" borderId="5" xfId="27" applyNumberFormat="1" applyFont="1" applyFill="1" applyBorder="1" applyAlignment="1">
      <alignment horizontal="right" vertical="center" wrapText="1"/>
    </xf>
    <xf numFmtId="0" fontId="6" fillId="15" borderId="1" xfId="0" applyFont="1" applyFill="1" applyBorder="1" applyAlignment="1">
      <alignment horizontal="left" vertical="center"/>
    </xf>
    <xf numFmtId="0" fontId="7" fillId="15" borderId="0" xfId="0" applyFont="1" applyFill="1" applyBorder="1" applyAlignment="1">
      <alignment horizontal="center" vertical="center" wrapText="1"/>
    </xf>
    <xf numFmtId="0" fontId="6" fillId="15" borderId="5" xfId="0" applyNumberFormat="1" applyFont="1" applyFill="1" applyBorder="1" applyAlignment="1">
      <alignment horizontal="center" vertical="center" wrapText="1"/>
    </xf>
    <xf numFmtId="4" fontId="6" fillId="15" borderId="1" xfId="21" applyNumberFormat="1" applyFont="1" applyFill="1" applyBorder="1" applyAlignment="1">
      <alignment horizontal="right" vertical="center" wrapText="1"/>
    </xf>
    <xf numFmtId="0" fontId="6" fillId="15" borderId="1" xfId="21" applyFont="1" applyFill="1" applyBorder="1" applyAlignment="1">
      <alignment horizontal="center" vertical="center" wrapText="1"/>
    </xf>
    <xf numFmtId="4" fontId="7" fillId="15" borderId="1" xfId="21" applyNumberFormat="1" applyFont="1" applyFill="1" applyBorder="1" applyAlignment="1">
      <alignment horizontal="right" vertical="center" wrapText="1"/>
    </xf>
    <xf numFmtId="0" fontId="32" fillId="15" borderId="1" xfId="0" applyFont="1" applyFill="1" applyBorder="1" applyAlignment="1">
      <alignment horizontal="center" vertical="center"/>
    </xf>
    <xf numFmtId="4" fontId="33" fillId="15" borderId="1" xfId="0" applyNumberFormat="1" applyFont="1" applyFill="1" applyBorder="1" applyAlignment="1">
      <alignment horizontal="right" vertical="center" wrapText="1"/>
    </xf>
    <xf numFmtId="4" fontId="6" fillId="15" borderId="12" xfId="21" applyNumberFormat="1" applyFont="1" applyFill="1" applyBorder="1" applyAlignment="1">
      <alignment horizontal="right" vertical="center" wrapText="1"/>
    </xf>
    <xf numFmtId="4" fontId="32" fillId="15" borderId="1" xfId="0" applyNumberFormat="1" applyFont="1" applyFill="1" applyBorder="1" applyAlignment="1">
      <alignment horizontal="right" vertical="center"/>
    </xf>
    <xf numFmtId="43" fontId="6" fillId="15" borderId="1" xfId="27" applyNumberFormat="1" applyFont="1" applyFill="1" applyBorder="1" applyAlignment="1">
      <alignment horizontal="center" vertical="center" wrapText="1"/>
    </xf>
    <xf numFmtId="43" fontId="7" fillId="15" borderId="5" xfId="27" applyFont="1" applyFill="1" applyBorder="1" applyAlignment="1">
      <alignment horizontal="right" vertical="center" wrapText="1"/>
    </xf>
    <xf numFmtId="0" fontId="6" fillId="15" borderId="5" xfId="0" applyFont="1" applyFill="1" applyBorder="1" applyAlignment="1">
      <alignment horizontal="center" vertical="center" wrapText="1"/>
    </xf>
    <xf numFmtId="0" fontId="6" fillId="15" borderId="5" xfId="0" applyFont="1" applyFill="1" applyBorder="1" applyAlignment="1">
      <alignment horizontal="left" vertical="center" wrapText="1"/>
    </xf>
    <xf numFmtId="43" fontId="6" fillId="15" borderId="5" xfId="27" applyFont="1" applyFill="1" applyBorder="1" applyAlignment="1">
      <alignment horizontal="right" vertical="center" wrapText="1"/>
    </xf>
    <xf numFmtId="43" fontId="6" fillId="15" borderId="5" xfId="27" applyNumberFormat="1" applyFont="1" applyFill="1" applyBorder="1" applyAlignment="1">
      <alignment horizontal="right" vertical="center" wrapText="1"/>
    </xf>
    <xf numFmtId="43" fontId="6" fillId="15" borderId="1" xfId="27" applyFont="1" applyFill="1" applyBorder="1" applyAlignment="1">
      <alignment horizontal="left" vertical="center" wrapText="1"/>
    </xf>
    <xf numFmtId="43" fontId="7" fillId="15" borderId="5" xfId="27" applyNumberFormat="1" applyFont="1" applyFill="1" applyBorder="1" applyAlignment="1">
      <alignment horizontal="right" vertical="center" wrapText="1"/>
    </xf>
    <xf numFmtId="0" fontId="7" fillId="15" borderId="5" xfId="0" applyFont="1" applyFill="1" applyBorder="1" applyAlignment="1">
      <alignment horizontal="center" vertical="center" wrapText="1"/>
    </xf>
    <xf numFmtId="168" fontId="7" fillId="15" borderId="5" xfId="27" applyNumberFormat="1" applyFont="1" applyFill="1" applyBorder="1" applyAlignment="1">
      <alignment horizontal="right" vertical="center" wrapText="1"/>
    </xf>
    <xf numFmtId="0" fontId="33" fillId="15" borderId="1" xfId="0" applyFont="1" applyFill="1" applyBorder="1" applyAlignment="1">
      <alignment horizontal="center" vertical="center"/>
    </xf>
    <xf numFmtId="43" fontId="6" fillId="15" borderId="9" xfId="27" applyNumberFormat="1" applyFont="1" applyFill="1" applyBorder="1" applyAlignment="1">
      <alignment horizontal="right" vertical="center" wrapText="1"/>
    </xf>
    <xf numFmtId="0" fontId="6" fillId="15" borderId="1" xfId="0" applyFont="1" applyFill="1" applyBorder="1" applyAlignment="1">
      <alignment horizontal="center"/>
    </xf>
    <xf numFmtId="166" fontId="6" fillId="15" borderId="1" xfId="0" applyNumberFormat="1" applyFont="1" applyFill="1" applyBorder="1" applyAlignment="1">
      <alignment horizontal="right"/>
    </xf>
    <xf numFmtId="4" fontId="6" fillId="15" borderId="1" xfId="0" applyNumberFormat="1" applyFont="1" applyFill="1" applyBorder="1" applyAlignment="1">
      <alignment horizontal="right" vertical="center" wrapText="1"/>
    </xf>
    <xf numFmtId="4" fontId="6" fillId="15" borderId="1" xfId="0" applyNumberFormat="1" applyFont="1" applyFill="1" applyBorder="1" applyAlignment="1">
      <alignment horizontal="right"/>
    </xf>
    <xf numFmtId="4" fontId="0" fillId="15" borderId="0" xfId="0" applyNumberFormat="1" applyFill="1">
      <alignment horizontal="left" vertical="center" wrapText="1"/>
    </xf>
    <xf numFmtId="166" fontId="6" fillId="15" borderId="5" xfId="27" applyNumberFormat="1" applyFont="1" applyFill="1" applyBorder="1" applyAlignment="1">
      <alignment horizontal="right" vertical="center" wrapText="1"/>
    </xf>
    <xf numFmtId="166" fontId="33" fillId="15" borderId="1" xfId="0" applyNumberFormat="1" applyFont="1" applyFill="1" applyBorder="1" applyAlignment="1">
      <alignment horizontal="right" vertical="center"/>
    </xf>
    <xf numFmtId="4" fontId="33" fillId="15" borderId="1" xfId="0" applyNumberFormat="1" applyFont="1" applyFill="1" applyBorder="1" applyAlignment="1">
      <alignment horizontal="right" vertical="center"/>
    </xf>
    <xf numFmtId="166" fontId="7" fillId="15" borderId="5" xfId="27" applyNumberFormat="1" applyFont="1" applyFill="1" applyBorder="1" applyAlignment="1">
      <alignment horizontal="right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left" vertical="center" wrapText="1"/>
    </xf>
    <xf numFmtId="0" fontId="6" fillId="15" borderId="5" xfId="0" applyFont="1" applyFill="1" applyBorder="1" applyAlignment="1">
      <alignment vertical="center" wrapText="1"/>
    </xf>
    <xf numFmtId="168" fontId="6" fillId="15" borderId="1" xfId="27" applyNumberFormat="1" applyFont="1" applyFill="1" applyBorder="1" applyAlignment="1">
      <alignment horizontal="right" wrapText="1"/>
    </xf>
    <xf numFmtId="0" fontId="33" fillId="15" borderId="1" xfId="0" applyFont="1" applyFill="1" applyBorder="1" applyAlignment="1">
      <alignment horizontal="center" vertical="center" wrapText="1"/>
    </xf>
    <xf numFmtId="43" fontId="6" fillId="15" borderId="1" xfId="27" applyFont="1" applyFill="1" applyBorder="1" applyAlignment="1">
      <alignment horizontal="right" vertical="center" wrapText="1"/>
    </xf>
    <xf numFmtId="43" fontId="7" fillId="15" borderId="3" xfId="27" applyFont="1" applyFill="1" applyBorder="1" applyAlignment="1">
      <alignment horizontal="right" vertical="center" wrapText="1"/>
    </xf>
    <xf numFmtId="43" fontId="2" fillId="15" borderId="0" xfId="27" applyNumberFormat="1" applyFont="1" applyFill="1">
      <alignment horizontal="left" vertical="center" wrapText="1"/>
    </xf>
    <xf numFmtId="0" fontId="6" fillId="15" borderId="0" xfId="0" applyFont="1" applyFill="1" applyBorder="1" applyAlignment="1">
      <alignment horizontal="left" wrapText="1"/>
    </xf>
    <xf numFmtId="4" fontId="5" fillId="15" borderId="0" xfId="0" applyNumberFormat="1" applyFont="1" applyFill="1" applyAlignment="1">
      <alignment horizontal="right" vertical="center" wrapText="1"/>
    </xf>
    <xf numFmtId="43" fontId="5" fillId="15" borderId="0" xfId="0" applyNumberFormat="1" applyFont="1" applyFill="1" applyAlignment="1">
      <alignment horizontal="right" vertical="center" wrapText="1"/>
    </xf>
    <xf numFmtId="0" fontId="5" fillId="15" borderId="0" xfId="0" applyFont="1" applyFill="1" applyAlignment="1">
      <alignment horizontal="right" vertical="center" wrapText="1"/>
    </xf>
    <xf numFmtId="0" fontId="0" fillId="15" borderId="16" xfId="0" applyFill="1" applyBorder="1" applyAlignment="1">
      <alignment horizontal="right" vertical="center" wrapText="1"/>
    </xf>
    <xf numFmtId="43" fontId="0" fillId="15" borderId="0" xfId="0" applyNumberFormat="1" applyFill="1" applyAlignment="1">
      <alignment horizontal="right" vertical="center" wrapText="1"/>
    </xf>
    <xf numFmtId="0" fontId="7" fillId="15" borderId="3" xfId="0" applyFont="1" applyFill="1" applyBorder="1" applyAlignment="1">
      <alignment horizontal="center" vertical="center" wrapText="1"/>
    </xf>
    <xf numFmtId="43" fontId="7" fillId="15" borderId="3" xfId="27" applyNumberFormat="1" applyFont="1" applyFill="1" applyBorder="1" applyAlignment="1">
      <alignment horizontal="right" vertical="center" wrapText="1"/>
    </xf>
    <xf numFmtId="43" fontId="7" fillId="15" borderId="6" xfId="27" applyFont="1" applyFill="1" applyBorder="1" applyAlignment="1">
      <alignment horizontal="center" vertical="center" wrapText="1"/>
    </xf>
    <xf numFmtId="0" fontId="0" fillId="15" borderId="15" xfId="0" applyFill="1" applyBorder="1">
      <alignment horizontal="left" vertical="center" wrapText="1"/>
    </xf>
    <xf numFmtId="0" fontId="0" fillId="15" borderId="15" xfId="0" applyFill="1" applyBorder="1" applyAlignment="1">
      <alignment horizontal="center" vertical="center" wrapText="1"/>
    </xf>
    <xf numFmtId="43" fontId="2" fillId="15" borderId="15" xfId="27" applyNumberFormat="1" applyFont="1" applyFill="1" applyBorder="1">
      <alignment horizontal="left" vertical="center" wrapText="1"/>
    </xf>
    <xf numFmtId="0" fontId="11" fillId="15" borderId="0" xfId="0" applyFont="1" applyFill="1" applyAlignment="1">
      <alignment horizontal="right" vertical="center" wrapText="1"/>
    </xf>
    <xf numFmtId="43" fontId="11" fillId="15" borderId="0" xfId="27" applyNumberFormat="1" applyFont="1" applyFill="1" applyAlignment="1">
      <alignment horizontal="right" vertical="center" wrapText="1"/>
    </xf>
    <xf numFmtId="4" fontId="8" fillId="15" borderId="0" xfId="0" applyNumberFormat="1" applyFont="1" applyFill="1" applyAlignment="1">
      <alignment vertical="top" wrapText="1"/>
    </xf>
    <xf numFmtId="4" fontId="11" fillId="15" borderId="0" xfId="27" applyNumberFormat="1" applyFont="1" applyFill="1" applyAlignment="1">
      <alignment horizontal="right" vertical="center" wrapText="1"/>
    </xf>
    <xf numFmtId="4" fontId="4" fillId="15" borderId="0" xfId="27" applyNumberFormat="1" applyFont="1" applyFill="1" applyAlignment="1">
      <alignment horizontal="right" vertical="center" wrapText="1"/>
    </xf>
    <xf numFmtId="4" fontId="6" fillId="15" borderId="5" xfId="27" applyNumberFormat="1" applyFont="1" applyFill="1" applyBorder="1" applyAlignment="1">
      <alignment horizontal="center" vertical="center" textRotation="90" wrapText="1"/>
    </xf>
    <xf numFmtId="4" fontId="6" fillId="15" borderId="5" xfId="27" applyNumberFormat="1" applyFont="1" applyFill="1" applyBorder="1" applyAlignment="1">
      <alignment horizontal="center" vertical="center" wrapText="1"/>
    </xf>
    <xf numFmtId="4" fontId="7" fillId="15" borderId="1" xfId="27" applyNumberFormat="1" applyFont="1" applyFill="1" applyBorder="1" applyAlignment="1">
      <alignment horizontal="right" vertical="center" wrapText="1"/>
    </xf>
    <xf numFmtId="4" fontId="6" fillId="15" borderId="5" xfId="27" applyNumberFormat="1" applyFont="1" applyFill="1" applyBorder="1" applyAlignment="1">
      <alignment horizontal="right" vertical="center" wrapText="1"/>
    </xf>
    <xf numFmtId="4" fontId="7" fillId="15" borderId="3" xfId="27" applyNumberFormat="1" applyFont="1" applyFill="1" applyBorder="1" applyAlignment="1">
      <alignment horizontal="right" vertical="center" wrapText="1"/>
    </xf>
    <xf numFmtId="4" fontId="7" fillId="15" borderId="5" xfId="27" applyNumberFormat="1" applyFont="1" applyFill="1" applyBorder="1" applyAlignment="1">
      <alignment horizontal="right" vertical="center" wrapText="1"/>
    </xf>
    <xf numFmtId="4" fontId="33" fillId="15" borderId="1" xfId="27" applyNumberFormat="1" applyFont="1" applyFill="1" applyBorder="1" applyAlignment="1">
      <alignment horizontal="right" vertical="center" wrapText="1"/>
    </xf>
    <xf numFmtId="4" fontId="0" fillId="15" borderId="15" xfId="0" applyNumberFormat="1" applyFill="1" applyBorder="1">
      <alignment horizontal="left" vertical="center" wrapText="1"/>
    </xf>
    <xf numFmtId="4" fontId="6" fillId="15" borderId="0" xfId="0" applyNumberFormat="1" applyFont="1" applyFill="1" applyBorder="1" applyAlignment="1">
      <alignment horizontal="left" wrapText="1"/>
    </xf>
    <xf numFmtId="4" fontId="2" fillId="15" borderId="0" xfId="27" applyNumberFormat="1" applyFont="1" applyFill="1" applyAlignment="1">
      <alignment horizontal="right" vertical="center" wrapText="1"/>
    </xf>
    <xf numFmtId="4" fontId="5" fillId="15" borderId="0" xfId="27" applyNumberFormat="1" applyFont="1" applyFill="1" applyAlignment="1">
      <alignment horizontal="right" vertical="center" wrapText="1"/>
    </xf>
    <xf numFmtId="4" fontId="0" fillId="15" borderId="0" xfId="0" applyNumberFormat="1" applyFill="1" applyAlignment="1">
      <alignment horizontal="right" vertical="center" wrapText="1"/>
    </xf>
    <xf numFmtId="3" fontId="6" fillId="15" borderId="5" xfId="27" applyNumberFormat="1" applyFont="1" applyFill="1" applyBorder="1" applyAlignment="1">
      <alignment horizontal="center" vertical="center" wrapText="1"/>
    </xf>
    <xf numFmtId="4" fontId="0" fillId="15" borderId="0" xfId="0" applyNumberFormat="1" applyFill="1" applyAlignment="1">
      <alignment horizontal="right" vertical="top" wrapText="1"/>
    </xf>
    <xf numFmtId="4" fontId="6" fillId="15" borderId="0" xfId="0" applyNumberFormat="1" applyFont="1" applyFill="1" applyAlignment="1">
      <alignment horizontal="right" vertical="center" wrapText="1"/>
    </xf>
    <xf numFmtId="4" fontId="11" fillId="15" borderId="0" xfId="0" applyNumberFormat="1" applyFont="1" applyFill="1" applyAlignment="1">
      <alignment horizontal="right" vertical="center" wrapText="1"/>
    </xf>
    <xf numFmtId="4" fontId="4" fillId="15" borderId="0" xfId="0" applyNumberFormat="1" applyFont="1" applyFill="1" applyAlignment="1">
      <alignment horizontal="right" vertical="center" wrapText="1"/>
    </xf>
    <xf numFmtId="4" fontId="6" fillId="15" borderId="5" xfId="0" applyNumberFormat="1" applyFont="1" applyFill="1" applyBorder="1" applyAlignment="1">
      <alignment horizontal="center" vertical="center" wrapText="1"/>
    </xf>
    <xf numFmtId="4" fontId="35" fillId="15" borderId="0" xfId="0" applyNumberFormat="1" applyFont="1" applyFill="1" applyAlignment="1">
      <alignment horizontal="right" vertical="center" wrapText="1"/>
    </xf>
    <xf numFmtId="4" fontId="0" fillId="15" borderId="15" xfId="0" applyNumberFormat="1" applyFill="1" applyBorder="1" applyAlignment="1">
      <alignment horizontal="right" vertical="center" wrapText="1"/>
    </xf>
    <xf numFmtId="0" fontId="6" fillId="15" borderId="10" xfId="0" applyFont="1" applyFill="1" applyBorder="1" applyAlignment="1">
      <alignment horizontal="center" vertical="center" wrapText="1"/>
    </xf>
    <xf numFmtId="4" fontId="7" fillId="15" borderId="8" xfId="27" applyNumberFormat="1" applyFont="1" applyFill="1" applyBorder="1" applyAlignment="1">
      <alignment horizontal="right" vertical="center" wrapText="1"/>
    </xf>
    <xf numFmtId="0" fontId="6" fillId="15" borderId="9" xfId="20" applyFont="1" applyFill="1" applyBorder="1" applyAlignment="1">
      <alignment horizontal="left" vertical="center" wrapText="1"/>
    </xf>
    <xf numFmtId="0" fontId="0" fillId="15" borderId="1" xfId="0" applyFont="1" applyFill="1" applyBorder="1">
      <alignment horizontal="left" vertical="center" wrapText="1"/>
    </xf>
    <xf numFmtId="0" fontId="33" fillId="18" borderId="1" xfId="0" applyFont="1" applyFill="1" applyBorder="1" applyAlignment="1">
      <alignment horizontal="center" vertical="center" wrapText="1"/>
    </xf>
    <xf numFmtId="166" fontId="32" fillId="16" borderId="35" xfId="27" applyNumberFormat="1" applyFont="1" applyFill="1" applyBorder="1" applyAlignment="1" applyProtection="1">
      <alignment horizontal="right"/>
    </xf>
    <xf numFmtId="166" fontId="32" fillId="15" borderId="34" xfId="27" applyNumberFormat="1" applyFont="1" applyFill="1" applyBorder="1" applyAlignment="1" applyProtection="1">
      <alignment horizontal="right"/>
    </xf>
    <xf numFmtId="166" fontId="32" fillId="17" borderId="35" xfId="27" applyNumberFormat="1" applyFont="1" applyFill="1" applyBorder="1" applyAlignment="1" applyProtection="1">
      <alignment horizontal="right"/>
    </xf>
    <xf numFmtId="166" fontId="33" fillId="15" borderId="1" xfId="19" applyNumberFormat="1" applyFont="1" applyFill="1" applyBorder="1"/>
    <xf numFmtId="166" fontId="33" fillId="15" borderId="1" xfId="19" applyNumberFormat="1" applyFont="1" applyFill="1" applyBorder="1" applyAlignment="1">
      <alignment horizontal="right"/>
    </xf>
    <xf numFmtId="0" fontId="7" fillId="15" borderId="4" xfId="0" applyFont="1" applyFill="1" applyBorder="1" applyAlignment="1">
      <alignment horizontal="center" vertical="center" wrapText="1"/>
    </xf>
    <xf numFmtId="1" fontId="6" fillId="15" borderId="1" xfId="27" applyNumberFormat="1" applyFont="1" applyFill="1" applyBorder="1" applyAlignment="1">
      <alignment horizontal="center" vertical="center" wrapText="1"/>
    </xf>
    <xf numFmtId="0" fontId="6" fillId="15" borderId="38" xfId="0" applyFont="1" applyFill="1" applyBorder="1" applyAlignment="1">
      <alignment horizontal="justify" vertical="center" wrapText="1"/>
    </xf>
    <xf numFmtId="166" fontId="6" fillId="15" borderId="1" xfId="27" applyNumberFormat="1" applyFont="1" applyFill="1" applyBorder="1" applyAlignment="1">
      <alignment horizontal="right"/>
    </xf>
    <xf numFmtId="166" fontId="6" fillId="15" borderId="45" xfId="0" applyNumberFormat="1" applyFont="1" applyFill="1" applyBorder="1" applyAlignment="1">
      <alignment horizontal="right"/>
    </xf>
    <xf numFmtId="166" fontId="6" fillId="15" borderId="45" xfId="27" applyNumberFormat="1" applyFont="1" applyFill="1" applyBorder="1" applyAlignment="1">
      <alignment horizontal="right"/>
    </xf>
    <xf numFmtId="166" fontId="7" fillId="15" borderId="1" xfId="21" applyNumberFormat="1" applyFont="1" applyFill="1" applyBorder="1" applyAlignment="1">
      <alignment horizontal="right" vertical="center" wrapText="1"/>
    </xf>
    <xf numFmtId="2" fontId="0" fillId="15" borderId="1" xfId="0" applyNumberFormat="1" applyFont="1" applyFill="1" applyBorder="1">
      <alignment horizontal="left" vertical="center" wrapText="1"/>
    </xf>
    <xf numFmtId="166" fontId="6" fillId="15" borderId="1" xfId="27" applyNumberFormat="1" applyFont="1" applyFill="1" applyBorder="1" applyAlignment="1">
      <alignment horizontal="right" vertical="center" wrapText="1"/>
    </xf>
    <xf numFmtId="0" fontId="6" fillId="15" borderId="46" xfId="0" applyFont="1" applyFill="1" applyBorder="1" applyAlignment="1"/>
    <xf numFmtId="0" fontId="6" fillId="15" borderId="46" xfId="0" applyFont="1" applyFill="1" applyBorder="1" applyAlignment="1">
      <alignment horizontal="center" vertical="center"/>
    </xf>
    <xf numFmtId="166" fontId="6" fillId="15" borderId="46" xfId="0" applyNumberFormat="1" applyFont="1" applyFill="1" applyBorder="1" applyAlignment="1"/>
    <xf numFmtId="0" fontId="6" fillId="15" borderId="46" xfId="0" applyFont="1" applyFill="1" applyBorder="1" applyAlignment="1">
      <alignment horizontal="center"/>
    </xf>
    <xf numFmtId="166" fontId="7" fillId="15" borderId="3" xfId="27" applyNumberFormat="1" applyFont="1" applyFill="1" applyBorder="1" applyAlignment="1">
      <alignment horizontal="right" vertical="center" wrapText="1"/>
    </xf>
    <xf numFmtId="0" fontId="6" fillId="15" borderId="6" xfId="0" applyFont="1" applyFill="1" applyBorder="1" applyAlignment="1">
      <alignment horizontal="center" vertical="center" wrapText="1"/>
    </xf>
    <xf numFmtId="166" fontId="6" fillId="15" borderId="10" xfId="27" applyNumberFormat="1" applyFont="1" applyFill="1" applyBorder="1" applyAlignment="1">
      <alignment horizontal="right" vertical="center" wrapText="1"/>
    </xf>
    <xf numFmtId="166" fontId="6" fillId="15" borderId="46" xfId="0" applyNumberFormat="1" applyFont="1" applyFill="1" applyBorder="1" applyAlignment="1">
      <alignment horizontal="right" vertical="center" wrapText="1"/>
    </xf>
    <xf numFmtId="166" fontId="6" fillId="15" borderId="38" xfId="27" applyNumberFormat="1" applyFont="1" applyFill="1" applyBorder="1" applyAlignment="1">
      <alignment horizontal="right" vertical="center" wrapText="1"/>
    </xf>
    <xf numFmtId="166" fontId="6" fillId="15" borderId="48" xfId="27" applyNumberFormat="1" applyFont="1" applyFill="1" applyBorder="1" applyAlignment="1">
      <alignment horizontal="right" vertical="center" wrapText="1"/>
    </xf>
    <xf numFmtId="0" fontId="6" fillId="15" borderId="46" xfId="0" applyFont="1" applyFill="1" applyBorder="1" applyAlignment="1">
      <alignment horizontal="center" vertical="center" wrapText="1"/>
    </xf>
    <xf numFmtId="0" fontId="6" fillId="15" borderId="46" xfId="0" applyFont="1" applyFill="1" applyBorder="1" applyAlignment="1">
      <alignment horizontal="left" vertical="center" wrapText="1"/>
    </xf>
    <xf numFmtId="168" fontId="6" fillId="15" borderId="50" xfId="27" applyNumberFormat="1" applyFont="1" applyFill="1" applyBorder="1" applyAlignment="1">
      <alignment horizontal="right" vertical="center" wrapText="1"/>
    </xf>
    <xf numFmtId="0" fontId="6" fillId="15" borderId="50" xfId="0" applyFont="1" applyFill="1" applyBorder="1" applyAlignment="1">
      <alignment horizontal="center" vertical="center" wrapText="1"/>
    </xf>
    <xf numFmtId="0" fontId="6" fillId="15" borderId="50" xfId="0" applyFont="1" applyFill="1" applyBorder="1" applyAlignment="1">
      <alignment horizontal="left" vertical="center" wrapText="1"/>
    </xf>
    <xf numFmtId="4" fontId="7" fillId="15" borderId="0" xfId="0" applyNumberFormat="1" applyFont="1" applyFill="1" applyAlignment="1">
      <alignment horizontal="center" vertical="center" wrapText="1"/>
    </xf>
    <xf numFmtId="3" fontId="6" fillId="15" borderId="5" xfId="0" applyNumberFormat="1" applyFont="1" applyFill="1" applyBorder="1" applyAlignment="1">
      <alignment horizontal="center" vertical="center" wrapText="1"/>
    </xf>
    <xf numFmtId="0" fontId="33" fillId="15" borderId="1" xfId="0" applyFont="1" applyFill="1" applyBorder="1" applyAlignment="1">
      <alignment horizontal="center"/>
    </xf>
    <xf numFmtId="4" fontId="33" fillId="15" borderId="1" xfId="0" applyNumberFormat="1" applyFont="1" applyFill="1" applyBorder="1" applyAlignment="1">
      <alignment horizontal="left"/>
    </xf>
    <xf numFmtId="39" fontId="6" fillId="15" borderId="41" xfId="0" applyNumberFormat="1" applyFont="1" applyFill="1" applyBorder="1" applyAlignment="1">
      <alignment horizontal="right" vertical="center" wrapText="1"/>
    </xf>
    <xf numFmtId="0" fontId="6" fillId="15" borderId="1" xfId="0" applyFont="1" applyFill="1" applyBorder="1" applyAlignment="1">
      <alignment horizontal="center" vertical="center"/>
    </xf>
    <xf numFmtId="166" fontId="6" fillId="15" borderId="37" xfId="0" applyNumberFormat="1" applyFont="1" applyFill="1" applyBorder="1" applyAlignment="1">
      <alignment horizontal="right" vertical="center" wrapText="1"/>
    </xf>
    <xf numFmtId="0" fontId="6" fillId="15" borderId="37" xfId="0" applyFont="1" applyFill="1" applyBorder="1" applyAlignment="1">
      <alignment horizontal="left" vertical="top" wrapText="1"/>
    </xf>
    <xf numFmtId="0" fontId="6" fillId="15" borderId="37" xfId="0" applyFont="1" applyFill="1" applyBorder="1" applyAlignment="1">
      <alignment horizontal="center" vertical="top" wrapText="1"/>
    </xf>
    <xf numFmtId="0" fontId="6" fillId="15" borderId="38" xfId="0" applyFont="1" applyFill="1" applyBorder="1" applyAlignment="1">
      <alignment horizontal="center" vertical="top" wrapText="1"/>
    </xf>
    <xf numFmtId="0" fontId="6" fillId="15" borderId="5" xfId="0" applyFont="1" applyFill="1" applyBorder="1" applyAlignment="1">
      <alignment horizontal="left" vertical="center"/>
    </xf>
    <xf numFmtId="0" fontId="6" fillId="15" borderId="39" xfId="0" applyFont="1" applyFill="1" applyBorder="1" applyAlignment="1">
      <alignment horizontal="center" vertical="top" wrapText="1"/>
    </xf>
    <xf numFmtId="169" fontId="6" fillId="15" borderId="5" xfId="0" applyNumberFormat="1" applyFont="1" applyFill="1" applyBorder="1" applyAlignment="1">
      <alignment horizontal="right" vertical="center"/>
    </xf>
    <xf numFmtId="4" fontId="6" fillId="15" borderId="37" xfId="0" applyNumberFormat="1" applyFont="1" applyFill="1" applyBorder="1" applyAlignment="1">
      <alignment horizontal="right" vertical="center" wrapText="1"/>
    </xf>
    <xf numFmtId="166" fontId="6" fillId="15" borderId="37" xfId="30" applyNumberFormat="1" applyFont="1" applyFill="1" applyBorder="1" applyAlignment="1">
      <alignment horizontal="right" vertical="center" wrapText="1"/>
    </xf>
    <xf numFmtId="0" fontId="6" fillId="15" borderId="37" xfId="30" applyFont="1" applyFill="1" applyBorder="1" applyAlignment="1">
      <alignment horizontal="left" vertical="top" wrapText="1"/>
    </xf>
    <xf numFmtId="0" fontId="6" fillId="15" borderId="37" xfId="30" applyFont="1" applyFill="1" applyBorder="1" applyAlignment="1">
      <alignment horizontal="center" vertical="top" wrapText="1"/>
    </xf>
    <xf numFmtId="0" fontId="6" fillId="15" borderId="38" xfId="30" applyFont="1" applyFill="1" applyBorder="1" applyAlignment="1">
      <alignment horizontal="center" vertical="top" wrapText="1"/>
    </xf>
    <xf numFmtId="0" fontId="6" fillId="15" borderId="36" xfId="0" applyFont="1" applyFill="1" applyBorder="1" applyAlignment="1">
      <alignment horizontal="left" vertical="center"/>
    </xf>
    <xf numFmtId="0" fontId="6" fillId="15" borderId="37" xfId="0" applyFont="1" applyFill="1" applyBorder="1" applyAlignment="1">
      <alignment horizontal="left" vertical="center"/>
    </xf>
    <xf numFmtId="0" fontId="6" fillId="15" borderId="37" xfId="0" applyFont="1" applyFill="1" applyBorder="1" applyAlignment="1">
      <alignment vertical="center"/>
    </xf>
    <xf numFmtId="166" fontId="6" fillId="15" borderId="37" xfId="0" applyNumberFormat="1" applyFont="1" applyFill="1" applyBorder="1" applyAlignment="1">
      <alignment horizontal="right" vertical="center"/>
    </xf>
    <xf numFmtId="0" fontId="37" fillId="15" borderId="37" xfId="0" applyFont="1" applyFill="1" applyBorder="1" applyAlignment="1">
      <alignment horizontal="left" vertical="center" wrapText="1"/>
    </xf>
    <xf numFmtId="0" fontId="37" fillId="15" borderId="38" xfId="0" applyFont="1" applyFill="1" applyBorder="1" applyAlignment="1">
      <alignment horizontal="center" vertical="center" wrapText="1"/>
    </xf>
    <xf numFmtId="43" fontId="6" fillId="15" borderId="46" xfId="27" applyNumberFormat="1" applyFont="1" applyFill="1" applyBorder="1" applyAlignment="1">
      <alignment horizontal="right" vertical="center" wrapText="1"/>
    </xf>
    <xf numFmtId="169" fontId="6" fillId="15" borderId="46" xfId="0" applyNumberFormat="1" applyFont="1" applyFill="1" applyBorder="1" applyAlignment="1">
      <alignment horizontal="right" vertical="center"/>
    </xf>
    <xf numFmtId="0" fontId="6" fillId="15" borderId="37" xfId="0" applyFont="1" applyFill="1" applyBorder="1" applyAlignment="1">
      <alignment horizontal="left" vertical="center" wrapText="1"/>
    </xf>
    <xf numFmtId="0" fontId="34" fillId="15" borderId="38" xfId="0" applyFont="1" applyFill="1" applyBorder="1" applyAlignment="1">
      <alignment horizontal="center" vertical="top" wrapText="1"/>
    </xf>
    <xf numFmtId="166" fontId="6" fillId="15" borderId="36" xfId="0" applyNumberFormat="1" applyFont="1" applyFill="1" applyBorder="1" applyAlignment="1">
      <alignment horizontal="right" vertical="center" wrapText="1"/>
    </xf>
    <xf numFmtId="0" fontId="6" fillId="15" borderId="36" xfId="0" applyFont="1" applyFill="1" applyBorder="1" applyAlignment="1">
      <alignment horizontal="left" vertical="top" wrapText="1"/>
    </xf>
    <xf numFmtId="0" fontId="6" fillId="15" borderId="36" xfId="0" applyFont="1" applyFill="1" applyBorder="1" applyAlignment="1">
      <alignment horizontal="center" vertical="top" wrapText="1"/>
    </xf>
    <xf numFmtId="0" fontId="6" fillId="15" borderId="40" xfId="0" applyFont="1" applyFill="1" applyBorder="1" applyAlignment="1">
      <alignment horizontal="center" vertical="top" wrapText="1"/>
    </xf>
    <xf numFmtId="0" fontId="6" fillId="15" borderId="36" xfId="0" applyFont="1" applyFill="1" applyBorder="1" applyAlignment="1">
      <alignment horizontal="left" vertical="center" wrapText="1"/>
    </xf>
    <xf numFmtId="43" fontId="6" fillId="15" borderId="41" xfId="27" applyNumberFormat="1" applyFont="1" applyFill="1" applyBorder="1" applyAlignment="1">
      <alignment horizontal="right" vertical="center" wrapText="1"/>
    </xf>
    <xf numFmtId="0" fontId="6" fillId="15" borderId="55" xfId="0" applyFont="1" applyFill="1" applyBorder="1" applyAlignment="1">
      <alignment horizontal="left" vertical="center"/>
    </xf>
    <xf numFmtId="0" fontId="6" fillId="15" borderId="0" xfId="0" applyFont="1" applyFill="1" applyAlignment="1">
      <alignment horizontal="left" vertical="center"/>
    </xf>
    <xf numFmtId="4" fontId="6" fillId="15" borderId="0" xfId="27" applyNumberFormat="1" applyFont="1" applyFill="1" applyBorder="1" applyAlignment="1">
      <alignment horizontal="right" vertical="center" wrapText="1"/>
    </xf>
    <xf numFmtId="169" fontId="33" fillId="15" borderId="5" xfId="0" applyNumberFormat="1" applyFont="1" applyFill="1" applyBorder="1" applyAlignment="1">
      <alignment horizontal="right" vertical="center"/>
    </xf>
    <xf numFmtId="0" fontId="10" fillId="15" borderId="1" xfId="0" applyFont="1" applyFill="1" applyBorder="1" applyAlignment="1">
      <alignment horizontal="left" vertical="center" wrapText="1"/>
    </xf>
    <xf numFmtId="0" fontId="10" fillId="15" borderId="5" xfId="0" applyFont="1" applyFill="1" applyBorder="1" applyAlignment="1">
      <alignment horizontal="center" vertical="center" wrapText="1"/>
    </xf>
    <xf numFmtId="0" fontId="10" fillId="15" borderId="5" xfId="0" applyFont="1" applyFill="1" applyBorder="1" applyAlignment="1">
      <alignment horizontal="left" vertical="center" wrapText="1"/>
    </xf>
    <xf numFmtId="166" fontId="10" fillId="15" borderId="5" xfId="0" applyNumberFormat="1" applyFont="1" applyFill="1" applyBorder="1" applyAlignment="1">
      <alignment horizontal="right" vertical="center" wrapText="1"/>
    </xf>
    <xf numFmtId="166" fontId="6" fillId="15" borderId="45" xfId="0" applyNumberFormat="1" applyFont="1" applyFill="1" applyBorder="1" applyAlignment="1">
      <alignment horizontal="right" vertical="center" wrapText="1"/>
    </xf>
    <xf numFmtId="43" fontId="6" fillId="15" borderId="49" xfId="27" applyNumberFormat="1" applyFont="1" applyFill="1" applyBorder="1" applyAlignment="1">
      <alignment horizontal="right" vertical="center" wrapText="1"/>
    </xf>
    <xf numFmtId="43" fontId="6" fillId="15" borderId="49" xfId="27" applyFont="1" applyFill="1" applyBorder="1" applyAlignment="1">
      <alignment horizontal="right" vertical="center" wrapText="1"/>
    </xf>
    <xf numFmtId="4" fontId="6" fillId="15" borderId="49" xfId="27" applyNumberFormat="1" applyFont="1" applyFill="1" applyBorder="1" applyAlignment="1">
      <alignment horizontal="right" vertical="center" wrapText="1"/>
    </xf>
    <xf numFmtId="0" fontId="6" fillId="15" borderId="5" xfId="20" applyFont="1" applyFill="1" applyBorder="1" applyAlignment="1">
      <alignment horizontal="left" vertical="center" wrapText="1"/>
    </xf>
    <xf numFmtId="166" fontId="6" fillId="15" borderId="1" xfId="0" applyNumberFormat="1" applyFont="1" applyFill="1" applyBorder="1" applyAlignment="1">
      <alignment horizontal="right" vertical="center"/>
    </xf>
    <xf numFmtId="166" fontId="6" fillId="15" borderId="5" xfId="20" applyNumberFormat="1" applyFont="1" applyFill="1" applyBorder="1" applyAlignment="1">
      <alignment horizontal="right" vertical="center" wrapText="1"/>
    </xf>
    <xf numFmtId="171" fontId="6" fillId="15" borderId="0" xfId="0" applyNumberFormat="1" applyFont="1" applyFill="1">
      <alignment horizontal="left" vertical="center" wrapText="1"/>
    </xf>
    <xf numFmtId="0" fontId="6" fillId="15" borderId="49" xfId="0" applyFont="1" applyFill="1" applyBorder="1" applyAlignment="1">
      <alignment horizontal="center" vertical="center" wrapText="1"/>
    </xf>
    <xf numFmtId="0" fontId="6" fillId="15" borderId="38" xfId="0" applyFont="1" applyFill="1" applyBorder="1" applyAlignment="1">
      <alignment horizontal="center" vertical="center" wrapText="1"/>
    </xf>
    <xf numFmtId="0" fontId="6" fillId="15" borderId="6" xfId="0" applyFont="1" applyFill="1" applyBorder="1" applyAlignment="1">
      <alignment horizontal="center" vertical="center"/>
    </xf>
    <xf numFmtId="0" fontId="10" fillId="15" borderId="0" xfId="0" applyFont="1" applyFill="1" applyBorder="1" applyAlignment="1">
      <alignment horizontal="center" vertical="center" wrapText="1"/>
    </xf>
    <xf numFmtId="0" fontId="7" fillId="15" borderId="56" xfId="0" applyFont="1" applyFill="1" applyBorder="1" applyAlignment="1">
      <alignment horizontal="center" vertical="center" wrapText="1"/>
    </xf>
    <xf numFmtId="168" fontId="6" fillId="15" borderId="5" xfId="27" applyNumberFormat="1" applyFont="1" applyFill="1" applyBorder="1" applyAlignment="1">
      <alignment horizontal="right" vertical="center" wrapText="1"/>
    </xf>
    <xf numFmtId="166" fontId="33" fillId="15" borderId="37" xfId="0" applyNumberFormat="1" applyFont="1" applyFill="1" applyBorder="1" applyAlignment="1">
      <alignment horizontal="right" vertical="center" wrapText="1"/>
    </xf>
    <xf numFmtId="0" fontId="36" fillId="15" borderId="37" xfId="0" applyFont="1" applyFill="1" applyBorder="1" applyAlignment="1">
      <alignment horizontal="left" vertical="center" wrapText="1"/>
    </xf>
    <xf numFmtId="0" fontId="36" fillId="15" borderId="37" xfId="0" applyFont="1" applyFill="1" applyBorder="1" applyAlignment="1">
      <alignment horizontal="center" vertical="center" wrapText="1"/>
    </xf>
    <xf numFmtId="0" fontId="36" fillId="15" borderId="38" xfId="0" applyFont="1" applyFill="1" applyBorder="1" applyAlignment="1">
      <alignment horizontal="center" vertical="center" wrapText="1"/>
    </xf>
    <xf numFmtId="0" fontId="33" fillId="15" borderId="1" xfId="0" applyFont="1" applyFill="1" applyBorder="1" applyAlignment="1"/>
    <xf numFmtId="170" fontId="33" fillId="15" borderId="1" xfId="27" applyNumberFormat="1" applyFont="1" applyFill="1" applyBorder="1" applyAlignment="1">
      <alignment horizontal="right"/>
    </xf>
    <xf numFmtId="0" fontId="6" fillId="15" borderId="1" xfId="0" applyFont="1" applyFill="1" applyBorder="1" applyAlignment="1">
      <alignment wrapText="1"/>
    </xf>
    <xf numFmtId="0" fontId="6" fillId="15" borderId="1" xfId="0" applyFont="1" applyFill="1" applyBorder="1" applyAlignment="1">
      <alignment horizontal="center" wrapText="1"/>
    </xf>
    <xf numFmtId="0" fontId="6" fillId="15" borderId="5" xfId="0" applyFont="1" applyFill="1" applyBorder="1" applyAlignment="1">
      <alignment horizontal="left" vertical="top" wrapText="1"/>
    </xf>
    <xf numFmtId="4" fontId="6" fillId="15" borderId="46" xfId="21" applyNumberFormat="1" applyFont="1" applyFill="1" applyBorder="1" applyAlignment="1">
      <alignment horizontal="right" vertical="center" wrapText="1"/>
    </xf>
    <xf numFmtId="0" fontId="6" fillId="15" borderId="62" xfId="0" applyFont="1" applyFill="1" applyBorder="1" applyAlignment="1">
      <alignment horizontal="center" vertical="center" wrapText="1"/>
    </xf>
    <xf numFmtId="0" fontId="6" fillId="15" borderId="65" xfId="0" applyFont="1" applyFill="1" applyBorder="1" applyAlignment="1">
      <alignment horizontal="center" vertical="center" wrapText="1"/>
    </xf>
    <xf numFmtId="0" fontId="7" fillId="15" borderId="66" xfId="0" applyFont="1" applyFill="1" applyBorder="1" applyAlignment="1">
      <alignment horizontal="center" vertical="center" wrapText="1"/>
    </xf>
    <xf numFmtId="0" fontId="6" fillId="15" borderId="49" xfId="0" applyNumberFormat="1" applyFont="1" applyFill="1" applyBorder="1" applyAlignment="1">
      <alignment horizontal="center" vertical="center" wrapText="1"/>
    </xf>
    <xf numFmtId="0" fontId="7" fillId="15" borderId="49" xfId="0" applyFont="1" applyFill="1" applyBorder="1" applyAlignment="1">
      <alignment horizontal="center" vertical="center" wrapText="1"/>
    </xf>
    <xf numFmtId="0" fontId="10" fillId="15" borderId="49" xfId="0" applyFont="1" applyFill="1" applyBorder="1" applyAlignment="1">
      <alignment horizontal="center" vertical="center" wrapText="1"/>
    </xf>
    <xf numFmtId="0" fontId="6" fillId="15" borderId="52" xfId="0" applyFont="1" applyFill="1" applyBorder="1" applyAlignment="1">
      <alignment horizontal="center" vertical="center"/>
    </xf>
    <xf numFmtId="0" fontId="6" fillId="15" borderId="69" xfId="0" applyFont="1" applyFill="1" applyBorder="1" applyAlignment="1">
      <alignment horizontal="center" vertical="center" wrapText="1"/>
    </xf>
    <xf numFmtId="0" fontId="7" fillId="15" borderId="24" xfId="0" applyFont="1" applyFill="1" applyBorder="1" applyAlignment="1">
      <alignment horizontal="center" vertical="center" wrapText="1"/>
    </xf>
    <xf numFmtId="4" fontId="6" fillId="15" borderId="13" xfId="27" applyNumberFormat="1" applyFont="1" applyFill="1" applyBorder="1" applyAlignment="1">
      <alignment horizontal="right" vertical="center" wrapText="1"/>
    </xf>
    <xf numFmtId="0" fontId="6" fillId="15" borderId="66" xfId="0" applyNumberFormat="1" applyFont="1" applyFill="1" applyBorder="1" applyAlignment="1">
      <alignment horizontal="center" vertical="center" wrapText="1"/>
    </xf>
    <xf numFmtId="0" fontId="6" fillId="15" borderId="56" xfId="0" applyFont="1" applyFill="1" applyBorder="1" applyAlignment="1">
      <alignment horizontal="center" vertical="center" wrapText="1"/>
    </xf>
    <xf numFmtId="0" fontId="6" fillId="15" borderId="66" xfId="0" applyFont="1" applyFill="1" applyBorder="1" applyAlignment="1">
      <alignment horizontal="center" vertical="center" wrapText="1"/>
    </xf>
    <xf numFmtId="43" fontId="7" fillId="15" borderId="49" xfId="27" applyNumberFormat="1" applyFont="1" applyFill="1" applyBorder="1" applyAlignment="1">
      <alignment horizontal="right" vertical="center" wrapText="1"/>
    </xf>
    <xf numFmtId="43" fontId="7" fillId="15" borderId="49" xfId="27" applyFont="1" applyFill="1" applyBorder="1" applyAlignment="1">
      <alignment horizontal="right" vertical="center" wrapText="1"/>
    </xf>
    <xf numFmtId="4" fontId="7" fillId="15" borderId="49" xfId="27" applyNumberFormat="1" applyFont="1" applyFill="1" applyBorder="1" applyAlignment="1">
      <alignment horizontal="right" vertical="center" wrapText="1"/>
    </xf>
    <xf numFmtId="168" fontId="7" fillId="15" borderId="49" xfId="27" applyNumberFormat="1" applyFont="1" applyFill="1" applyBorder="1" applyAlignment="1">
      <alignment horizontal="right" vertical="center" wrapText="1"/>
    </xf>
    <xf numFmtId="0" fontId="0" fillId="15" borderId="0" xfId="0" applyFill="1" applyAlignment="1">
      <alignment horizontal="left" vertical="center" wrapText="1"/>
    </xf>
    <xf numFmtId="0" fontId="7" fillId="15" borderId="5" xfId="0" applyFont="1" applyFill="1" applyBorder="1" applyAlignment="1">
      <alignment horizontal="left" vertical="center" wrapText="1"/>
    </xf>
    <xf numFmtId="0" fontId="6" fillId="15" borderId="11" xfId="0" applyFont="1" applyFill="1" applyBorder="1" applyAlignment="1">
      <alignment horizontal="center" vertical="center" wrapText="1"/>
    </xf>
    <xf numFmtId="0" fontId="11" fillId="15" borderId="0" xfId="0" applyFont="1" applyFill="1" applyAlignment="1">
      <alignment horizontal="center" vertical="center" wrapText="1"/>
    </xf>
    <xf numFmtId="0" fontId="6" fillId="15" borderId="4" xfId="0" applyFont="1" applyFill="1" applyBorder="1" applyAlignment="1">
      <alignment horizontal="center" vertical="center" wrapText="1"/>
    </xf>
    <xf numFmtId="0" fontId="7" fillId="15" borderId="2" xfId="0" applyFont="1" applyFill="1" applyBorder="1" applyAlignment="1">
      <alignment horizontal="center" vertical="center" wrapText="1"/>
    </xf>
    <xf numFmtId="0" fontId="7" fillId="15" borderId="58" xfId="0" applyFont="1" applyFill="1" applyBorder="1" applyAlignment="1">
      <alignment horizontal="center" vertical="center" wrapText="1"/>
    </xf>
    <xf numFmtId="0" fontId="7" fillId="15" borderId="68" xfId="0" applyFont="1" applyFill="1" applyBorder="1" applyAlignment="1">
      <alignment horizontal="center" vertical="center" wrapText="1"/>
    </xf>
    <xf numFmtId="0" fontId="6" fillId="15" borderId="0" xfId="0" applyFont="1" applyFill="1" applyBorder="1" applyAlignment="1">
      <alignment horizontal="left" vertical="center" wrapText="1"/>
    </xf>
    <xf numFmtId="166" fontId="6" fillId="15" borderId="52" xfId="0" applyNumberFormat="1" applyFont="1" applyFill="1" applyBorder="1" applyAlignment="1">
      <alignment horizontal="right" vertical="center" wrapText="1"/>
    </xf>
    <xf numFmtId="0" fontId="6" fillId="15" borderId="8" xfId="0" applyFont="1" applyFill="1" applyBorder="1" applyAlignment="1">
      <alignment horizontal="left" vertical="center" wrapText="1"/>
    </xf>
    <xf numFmtId="0" fontId="33" fillId="15" borderId="60" xfId="0" applyFont="1" applyFill="1" applyBorder="1" applyAlignment="1">
      <alignment horizontal="center"/>
    </xf>
    <xf numFmtId="0" fontId="33" fillId="15" borderId="1" xfId="0" applyFont="1" applyFill="1" applyBorder="1" applyAlignment="1">
      <alignment horizontal="left" wrapText="1"/>
    </xf>
    <xf numFmtId="0" fontId="33" fillId="15" borderId="61" xfId="0" applyFont="1" applyFill="1" applyBorder="1" applyAlignment="1">
      <alignment horizontal="center"/>
    </xf>
    <xf numFmtId="0" fontId="33" fillId="15" borderId="46" xfId="0" applyFont="1" applyFill="1" applyBorder="1" applyAlignment="1">
      <alignment horizontal="center"/>
    </xf>
    <xf numFmtId="0" fontId="33" fillId="15" borderId="52" xfId="0" applyFont="1" applyFill="1" applyBorder="1" applyAlignment="1">
      <alignment horizontal="center"/>
    </xf>
    <xf numFmtId="166" fontId="33" fillId="15" borderId="1" xfId="27" applyNumberFormat="1" applyFont="1" applyFill="1" applyBorder="1" applyAlignment="1">
      <alignment horizontal="right"/>
    </xf>
    <xf numFmtId="0" fontId="33" fillId="15" borderId="59" xfId="0" applyFont="1" applyFill="1" applyBorder="1" applyAlignment="1">
      <alignment horizontal="center"/>
    </xf>
    <xf numFmtId="0" fontId="33" fillId="15" borderId="67" xfId="0" applyFont="1" applyFill="1" applyBorder="1" applyAlignment="1">
      <alignment horizontal="center"/>
    </xf>
    <xf numFmtId="39" fontId="6" fillId="15" borderId="1" xfId="0" applyNumberFormat="1" applyFont="1" applyFill="1" applyBorder="1" applyAlignment="1">
      <alignment horizontal="right" vertical="center" wrapText="1"/>
    </xf>
    <xf numFmtId="0" fontId="6" fillId="15" borderId="8" xfId="0" applyFont="1" applyFill="1" applyBorder="1" applyAlignment="1">
      <alignment horizontal="left" vertical="center"/>
    </xf>
    <xf numFmtId="0" fontId="6" fillId="15" borderId="8" xfId="0" applyFont="1" applyFill="1" applyBorder="1" applyAlignment="1">
      <alignment horizontal="center" vertical="center"/>
    </xf>
    <xf numFmtId="0" fontId="41" fillId="15" borderId="63" xfId="0" applyNumberFormat="1" applyFont="1" applyFill="1" applyBorder="1" applyAlignment="1">
      <alignment horizontal="center" wrapText="1"/>
    </xf>
    <xf numFmtId="0" fontId="41" fillId="15" borderId="63" xfId="0" applyNumberFormat="1" applyFont="1" applyFill="1" applyBorder="1" applyAlignment="1">
      <alignment wrapText="1"/>
    </xf>
    <xf numFmtId="0" fontId="6" fillId="15" borderId="11" xfId="2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left" vertical="top" wrapText="1"/>
    </xf>
    <xf numFmtId="0" fontId="6" fillId="15" borderId="1" xfId="0" applyFont="1" applyFill="1" applyBorder="1" applyAlignment="1">
      <alignment horizontal="center" vertical="top" wrapText="1"/>
    </xf>
    <xf numFmtId="0" fontId="6" fillId="15" borderId="49" xfId="0" applyFont="1" applyFill="1" applyBorder="1" applyAlignment="1">
      <alignment horizontal="left" vertical="center" wrapText="1"/>
    </xf>
    <xf numFmtId="168" fontId="6" fillId="15" borderId="49" xfId="27" applyNumberFormat="1" applyFont="1" applyFill="1" applyBorder="1" applyAlignment="1">
      <alignment horizontal="right" vertical="center" wrapText="1"/>
    </xf>
    <xf numFmtId="43" fontId="0" fillId="15" borderId="0" xfId="0" applyNumberFormat="1" applyFont="1" applyFill="1">
      <alignment horizontal="left" vertical="center" wrapText="1"/>
    </xf>
    <xf numFmtId="0" fontId="6" fillId="15" borderId="1" xfId="0" applyNumberFormat="1" applyFont="1" applyFill="1" applyBorder="1" applyAlignment="1">
      <alignment horizontal="center" vertical="center" wrapText="1"/>
    </xf>
    <xf numFmtId="0" fontId="6" fillId="15" borderId="1" xfId="21" applyFont="1" applyFill="1" applyBorder="1" applyAlignment="1">
      <alignment horizontal="left" vertical="center" wrapText="1"/>
    </xf>
    <xf numFmtId="168" fontId="6" fillId="15" borderId="1" xfId="27" applyNumberFormat="1" applyFont="1" applyFill="1" applyBorder="1" applyAlignment="1">
      <alignment horizontal="right" vertical="center" wrapText="1"/>
    </xf>
    <xf numFmtId="0" fontId="33" fillId="15" borderId="1" xfId="0" applyFont="1" applyFill="1" applyBorder="1" applyAlignment="1">
      <alignment wrapText="1"/>
    </xf>
    <xf numFmtId="49" fontId="6" fillId="15" borderId="1" xfId="0" applyNumberFormat="1" applyFont="1" applyFill="1" applyBorder="1" applyAlignment="1">
      <alignment horizontal="center" wrapText="1"/>
    </xf>
    <xf numFmtId="170" fontId="33" fillId="15" borderId="1" xfId="27" applyNumberFormat="1" applyFont="1" applyFill="1" applyBorder="1" applyAlignment="1">
      <alignment horizontal="right" vertical="center"/>
    </xf>
    <xf numFmtId="170" fontId="6" fillId="15" borderId="1" xfId="27" applyNumberFormat="1" applyFont="1" applyFill="1" applyBorder="1" applyAlignment="1">
      <alignment horizontal="right" vertical="center" wrapText="1"/>
    </xf>
    <xf numFmtId="0" fontId="33" fillId="15" borderId="1" xfId="0" applyFont="1" applyFill="1" applyBorder="1" applyAlignment="1">
      <alignment vertical="center"/>
    </xf>
    <xf numFmtId="0" fontId="33" fillId="15" borderId="1" xfId="0" applyFont="1" applyFill="1" applyBorder="1" applyAlignment="1">
      <alignment vertical="center" wrapText="1"/>
    </xf>
    <xf numFmtId="0" fontId="38" fillId="18" borderId="8" xfId="0" applyFont="1" applyFill="1" applyBorder="1" applyAlignment="1">
      <alignment horizontal="center" vertical="center" wrapText="1"/>
    </xf>
    <xf numFmtId="4" fontId="6" fillId="15" borderId="13" xfId="21" applyNumberFormat="1" applyFont="1" applyFill="1" applyBorder="1" applyAlignment="1">
      <alignment horizontal="right" vertical="center" wrapText="1"/>
    </xf>
    <xf numFmtId="2" fontId="0" fillId="15" borderId="0" xfId="0" applyNumberFormat="1" applyFill="1">
      <alignment horizontal="left" vertical="center" wrapText="1"/>
    </xf>
    <xf numFmtId="43" fontId="0" fillId="15" borderId="0" xfId="27" applyFont="1" applyFill="1">
      <alignment horizontal="left" vertical="center" wrapText="1"/>
    </xf>
    <xf numFmtId="0" fontId="6" fillId="15" borderId="14" xfId="0" applyFont="1" applyFill="1" applyBorder="1" applyAlignment="1">
      <alignment horizontal="center" vertical="center" wrapText="1"/>
    </xf>
    <xf numFmtId="166" fontId="6" fillId="15" borderId="14" xfId="27" applyNumberFormat="1" applyFont="1" applyFill="1" applyBorder="1" applyAlignment="1">
      <alignment horizontal="right" vertical="center" wrapText="1"/>
    </xf>
    <xf numFmtId="0" fontId="6" fillId="15" borderId="14" xfId="0" applyFont="1" applyFill="1" applyBorder="1" applyAlignment="1">
      <alignment horizontal="left" vertical="center" wrapText="1"/>
    </xf>
    <xf numFmtId="0" fontId="6" fillId="15" borderId="66" xfId="0" applyFont="1" applyFill="1" applyBorder="1" applyAlignment="1">
      <alignment horizontal="left" vertical="center" wrapText="1"/>
    </xf>
    <xf numFmtId="168" fontId="6" fillId="15" borderId="66" xfId="27" applyNumberFormat="1" applyFont="1" applyFill="1" applyBorder="1" applyAlignment="1">
      <alignment horizontal="right" vertical="center" wrapText="1"/>
    </xf>
    <xf numFmtId="168" fontId="6" fillId="15" borderId="6" xfId="27" applyNumberFormat="1" applyFont="1" applyFill="1" applyBorder="1" applyAlignment="1">
      <alignment horizontal="right" vertical="center" wrapText="1"/>
    </xf>
    <xf numFmtId="43" fontId="6" fillId="15" borderId="66" xfId="27" applyNumberFormat="1" applyFont="1" applyFill="1" applyBorder="1" applyAlignment="1">
      <alignment horizontal="right" vertical="center" wrapText="1"/>
    </xf>
    <xf numFmtId="43" fontId="6" fillId="15" borderId="66" xfId="27" applyFont="1" applyFill="1" applyBorder="1" applyAlignment="1">
      <alignment horizontal="right" vertical="center" wrapText="1"/>
    </xf>
    <xf numFmtId="0" fontId="6" fillId="15" borderId="8" xfId="0" applyFont="1" applyFill="1" applyBorder="1" applyAlignment="1">
      <alignment horizontal="center" vertical="center" wrapText="1"/>
    </xf>
    <xf numFmtId="43" fontId="6" fillId="15" borderId="56" xfId="27" applyNumberFormat="1" applyFont="1" applyFill="1" applyBorder="1" applyAlignment="1">
      <alignment horizontal="right" vertical="center" wrapText="1"/>
    </xf>
    <xf numFmtId="43" fontId="6" fillId="15" borderId="56" xfId="27" applyFont="1" applyFill="1" applyBorder="1" applyAlignment="1">
      <alignment horizontal="right" vertical="center" wrapText="1"/>
    </xf>
    <xf numFmtId="167" fontId="6" fillId="15" borderId="5" xfId="0" applyNumberFormat="1" applyFont="1" applyFill="1" applyBorder="1" applyAlignment="1">
      <alignment horizontal="right" vertical="center" wrapText="1"/>
    </xf>
    <xf numFmtId="0" fontId="6" fillId="15" borderId="5" xfId="0" applyFont="1" applyFill="1" applyBorder="1" applyAlignment="1">
      <alignment horizontal="center" vertical="center"/>
    </xf>
    <xf numFmtId="43" fontId="6" fillId="15" borderId="1" xfId="27" applyFont="1" applyFill="1" applyBorder="1" applyAlignment="1">
      <alignment horizontal="center" vertical="center" wrapText="1"/>
    </xf>
    <xf numFmtId="172" fontId="6" fillId="15" borderId="1" xfId="27" applyNumberFormat="1" applyFont="1" applyFill="1" applyBorder="1" applyAlignment="1">
      <alignment horizontal="center" vertical="center" wrapText="1"/>
    </xf>
    <xf numFmtId="43" fontId="6" fillId="15" borderId="1" xfId="27" applyFont="1" applyFill="1" applyBorder="1" applyAlignment="1"/>
    <xf numFmtId="172" fontId="6" fillId="15" borderId="1" xfId="27" applyNumberFormat="1" applyFont="1" applyFill="1" applyBorder="1" applyAlignment="1">
      <alignment horizontal="left" vertical="center" wrapText="1"/>
    </xf>
    <xf numFmtId="0" fontId="0" fillId="15" borderId="43" xfId="0" applyFont="1" applyFill="1" applyBorder="1" applyAlignment="1">
      <alignment vertical="center"/>
    </xf>
    <xf numFmtId="0" fontId="33" fillId="15" borderId="45" xfId="0" applyFont="1" applyFill="1" applyBorder="1" applyAlignment="1">
      <alignment vertical="center" wrapText="1"/>
    </xf>
    <xf numFmtId="0" fontId="33" fillId="15" borderId="45" xfId="0" applyFont="1" applyFill="1" applyBorder="1" applyAlignment="1">
      <alignment horizontal="center" vertical="center" wrapText="1"/>
    </xf>
    <xf numFmtId="0" fontId="33" fillId="15" borderId="46" xfId="0" applyFont="1" applyFill="1" applyBorder="1" applyAlignment="1">
      <alignment horizontal="center" vertical="center" wrapText="1"/>
    </xf>
    <xf numFmtId="0" fontId="33" fillId="15" borderId="52" xfId="0" applyFont="1" applyFill="1" applyBorder="1" applyAlignment="1">
      <alignment horizontal="center" vertical="center" wrapText="1"/>
    </xf>
    <xf numFmtId="168" fontId="33" fillId="15" borderId="45" xfId="27" applyNumberFormat="1" applyFont="1" applyFill="1" applyBorder="1" applyAlignment="1">
      <alignment horizontal="right" vertical="center" wrapText="1"/>
    </xf>
    <xf numFmtId="43" fontId="33" fillId="15" borderId="45" xfId="27" applyNumberFormat="1" applyFont="1" applyFill="1" applyBorder="1" applyAlignment="1">
      <alignment horizontal="center" vertical="center" wrapText="1"/>
    </xf>
    <xf numFmtId="166" fontId="6" fillId="15" borderId="47" xfId="0" applyNumberFormat="1" applyFont="1" applyFill="1" applyBorder="1" applyAlignment="1">
      <alignment horizontal="right" vertical="center" wrapText="1"/>
    </xf>
    <xf numFmtId="168" fontId="6" fillId="15" borderId="1" xfId="27" applyNumberFormat="1" applyFont="1" applyFill="1" applyBorder="1" applyAlignment="1">
      <alignment horizontal="center" vertical="center" wrapText="1"/>
    </xf>
    <xf numFmtId="0" fontId="6" fillId="15" borderId="1" xfId="0" applyFont="1" applyFill="1" applyBorder="1" applyAlignment="1"/>
    <xf numFmtId="0" fontId="10" fillId="15" borderId="1" xfId="0" applyFont="1" applyFill="1" applyBorder="1" applyAlignment="1">
      <alignment horizontal="left" vertical="center"/>
    </xf>
    <xf numFmtId="0" fontId="10" fillId="15" borderId="1" xfId="0" applyFont="1" applyFill="1" applyBorder="1" applyAlignment="1">
      <alignment horizontal="center" vertical="center" wrapText="1"/>
    </xf>
    <xf numFmtId="166" fontId="10" fillId="15" borderId="1" xfId="0" applyNumberFormat="1" applyFont="1" applyFill="1" applyBorder="1" applyAlignment="1">
      <alignment horizontal="right" vertical="center"/>
    </xf>
    <xf numFmtId="0" fontId="10" fillId="15" borderId="1" xfId="0" applyFont="1" applyFill="1" applyBorder="1" applyAlignment="1">
      <alignment horizontal="center" vertical="center"/>
    </xf>
    <xf numFmtId="0" fontId="33" fillId="15" borderId="1" xfId="0" applyFont="1" applyFill="1" applyBorder="1" applyAlignment="1">
      <alignment horizontal="left" vertical="center"/>
    </xf>
    <xf numFmtId="43" fontId="32" fillId="15" borderId="0" xfId="27" applyFont="1" applyFill="1">
      <alignment horizontal="left" vertical="center" wrapText="1"/>
    </xf>
    <xf numFmtId="0" fontId="6" fillId="15" borderId="64" xfId="0" applyFont="1" applyFill="1" applyBorder="1" applyAlignment="1">
      <alignment horizontal="left" vertical="center" wrapText="1"/>
    </xf>
    <xf numFmtId="0" fontId="6" fillId="15" borderId="41" xfId="0" applyFont="1" applyFill="1" applyBorder="1" applyAlignment="1">
      <alignment horizontal="left" vertical="center" wrapText="1"/>
    </xf>
    <xf numFmtId="0" fontId="6" fillId="15" borderId="41" xfId="0" applyFont="1" applyFill="1" applyBorder="1" applyAlignment="1">
      <alignment horizontal="center" vertical="center" wrapText="1"/>
    </xf>
    <xf numFmtId="43" fontId="6" fillId="15" borderId="46" xfId="27" applyFont="1" applyFill="1" applyBorder="1" applyAlignment="1">
      <alignment horizontal="center" vertical="center" wrapText="1"/>
    </xf>
    <xf numFmtId="43" fontId="6" fillId="15" borderId="8" xfId="27" applyFont="1" applyFill="1" applyBorder="1" applyAlignment="1">
      <alignment horizontal="right" vertical="center" wrapText="1"/>
    </xf>
    <xf numFmtId="0" fontId="6" fillId="15" borderId="46" xfId="0" applyFont="1" applyFill="1" applyBorder="1" applyAlignment="1">
      <alignment wrapText="1"/>
    </xf>
    <xf numFmtId="0" fontId="6" fillId="15" borderId="52" xfId="0" applyFont="1" applyFill="1" applyBorder="1" applyAlignment="1">
      <alignment horizontal="center" vertical="center" wrapText="1"/>
    </xf>
    <xf numFmtId="166" fontId="6" fillId="15" borderId="46" xfId="0" applyNumberFormat="1" applyFont="1" applyFill="1" applyBorder="1" applyAlignment="1">
      <alignment wrapText="1"/>
    </xf>
    <xf numFmtId="0" fontId="6" fillId="15" borderId="46" xfId="0" applyFont="1" applyFill="1" applyBorder="1" applyAlignment="1">
      <alignment horizontal="center" wrapText="1"/>
    </xf>
    <xf numFmtId="168" fontId="6" fillId="15" borderId="52" xfId="27" applyNumberFormat="1" applyFont="1" applyFill="1" applyBorder="1" applyAlignment="1">
      <alignment horizontal="right" vertical="center" wrapText="1"/>
    </xf>
    <xf numFmtId="0" fontId="6" fillId="15" borderId="54" xfId="0" applyFont="1" applyFill="1" applyBorder="1" applyAlignment="1">
      <alignment horizontal="left" vertical="center" wrapText="1"/>
    </xf>
    <xf numFmtId="0" fontId="6" fillId="15" borderId="51" xfId="0" applyFont="1" applyFill="1" applyBorder="1" applyAlignment="1">
      <alignment horizontal="left" vertical="center" wrapText="1"/>
    </xf>
    <xf numFmtId="168" fontId="6" fillId="15" borderId="54" xfId="27" applyNumberFormat="1" applyFont="1" applyFill="1" applyBorder="1" applyAlignment="1">
      <alignment horizontal="right" vertical="center" wrapText="1"/>
    </xf>
    <xf numFmtId="0" fontId="6" fillId="15" borderId="54" xfId="0" applyFont="1" applyFill="1" applyBorder="1" applyAlignment="1">
      <alignment horizontal="center" vertical="center" wrapText="1"/>
    </xf>
    <xf numFmtId="0" fontId="6" fillId="15" borderId="52" xfId="0" applyFont="1" applyFill="1" applyBorder="1" applyAlignment="1">
      <alignment horizontal="left" vertical="center" wrapText="1"/>
    </xf>
    <xf numFmtId="0" fontId="6" fillId="15" borderId="53" xfId="0" applyFont="1" applyFill="1" applyBorder="1" applyAlignment="1">
      <alignment horizontal="center" vertical="center" wrapText="1"/>
    </xf>
    <xf numFmtId="43" fontId="6" fillId="15" borderId="46" xfId="27" applyFont="1" applyFill="1" applyBorder="1" applyAlignment="1">
      <alignment horizontal="right" vertical="center" wrapText="1"/>
    </xf>
    <xf numFmtId="0" fontId="33" fillId="15" borderId="6" xfId="0" applyFont="1" applyFill="1" applyBorder="1" applyAlignment="1">
      <alignment horizontal="left" vertical="center" wrapText="1"/>
    </xf>
    <xf numFmtId="168" fontId="33" fillId="15" borderId="1" xfId="27" applyNumberFormat="1" applyFont="1" applyFill="1" applyBorder="1" applyAlignment="1">
      <alignment horizontal="right" vertical="center" wrapText="1"/>
    </xf>
    <xf numFmtId="43" fontId="33" fillId="15" borderId="6" xfId="27" applyNumberFormat="1" applyFont="1" applyFill="1" applyBorder="1" applyAlignment="1">
      <alignment horizontal="right" vertical="center" wrapText="1"/>
    </xf>
    <xf numFmtId="0" fontId="33" fillId="15" borderId="1" xfId="0" applyFont="1" applyFill="1" applyBorder="1" applyAlignment="1">
      <alignment horizontal="left" vertical="center" wrapText="1"/>
    </xf>
    <xf numFmtId="0" fontId="32" fillId="15" borderId="1" xfId="0" applyFont="1" applyFill="1" applyBorder="1" applyAlignment="1">
      <alignment horizontal="center" vertical="center" wrapText="1"/>
    </xf>
    <xf numFmtId="168" fontId="32" fillId="15" borderId="1" xfId="27" applyNumberFormat="1" applyFont="1" applyFill="1" applyBorder="1" applyAlignment="1">
      <alignment horizontal="right" vertical="center" wrapText="1"/>
    </xf>
    <xf numFmtId="0" fontId="7" fillId="15" borderId="11" xfId="0" applyFont="1" applyFill="1" applyBorder="1" applyAlignment="1">
      <alignment horizontal="left" vertical="center" wrapText="1"/>
    </xf>
    <xf numFmtId="0" fontId="7" fillId="15" borderId="9" xfId="0" applyFont="1" applyFill="1" applyBorder="1" applyAlignment="1">
      <alignment horizontal="left" vertical="center" wrapText="1"/>
    </xf>
    <xf numFmtId="0" fontId="7" fillId="15" borderId="11" xfId="0" applyFont="1" applyFill="1" applyBorder="1" applyAlignment="1">
      <alignment horizontal="center" vertical="center" wrapText="1"/>
    </xf>
    <xf numFmtId="0" fontId="7" fillId="15" borderId="2" xfId="0" applyFont="1" applyFill="1" applyBorder="1" applyAlignment="1">
      <alignment horizontal="center" vertical="center" wrapText="1"/>
    </xf>
    <xf numFmtId="0" fontId="7" fillId="15" borderId="68" xfId="0" applyFont="1" applyFill="1" applyBorder="1" applyAlignment="1">
      <alignment horizontal="center" vertical="center" wrapText="1"/>
    </xf>
    <xf numFmtId="0" fontId="7" fillId="15" borderId="9" xfId="0" applyFont="1" applyFill="1" applyBorder="1" applyAlignment="1">
      <alignment horizontal="center" vertical="center" wrapText="1"/>
    </xf>
    <xf numFmtId="0" fontId="7" fillId="15" borderId="23" xfId="0" applyFont="1" applyFill="1" applyBorder="1" applyAlignment="1">
      <alignment horizontal="left" vertical="center" wrapText="1"/>
    </xf>
    <xf numFmtId="0" fontId="7" fillId="15" borderId="17" xfId="0" applyFont="1" applyFill="1" applyBorder="1" applyAlignment="1">
      <alignment horizontal="left" vertical="center" wrapText="1"/>
    </xf>
    <xf numFmtId="0" fontId="7" fillId="15" borderId="18" xfId="0" applyFont="1" applyFill="1" applyBorder="1" applyAlignment="1">
      <alignment horizontal="left" vertical="center" wrapText="1"/>
    </xf>
    <xf numFmtId="0" fontId="6" fillId="15" borderId="0" xfId="0" applyNumberFormat="1" applyFont="1" applyFill="1" applyBorder="1" applyAlignment="1">
      <alignment horizontal="left" vertical="center" wrapText="1"/>
    </xf>
    <xf numFmtId="0" fontId="6" fillId="15" borderId="0" xfId="0" applyFont="1" applyFill="1" applyBorder="1" applyAlignment="1">
      <alignment horizontal="left" vertical="center" wrapText="1"/>
    </xf>
    <xf numFmtId="0" fontId="7" fillId="15" borderId="69" xfId="0" applyFont="1" applyFill="1" applyBorder="1" applyAlignment="1">
      <alignment horizontal="center" vertical="center" wrapText="1"/>
    </xf>
    <xf numFmtId="0" fontId="7" fillId="15" borderId="57" xfId="0" applyFont="1" applyFill="1" applyBorder="1" applyAlignment="1">
      <alignment horizontal="center" vertical="center" wrapText="1"/>
    </xf>
    <xf numFmtId="0" fontId="7" fillId="15" borderId="62" xfId="0" applyFont="1" applyFill="1" applyBorder="1" applyAlignment="1">
      <alignment horizontal="center" vertical="center" wrapText="1"/>
    </xf>
    <xf numFmtId="0" fontId="7" fillId="15" borderId="69" xfId="0" applyFont="1" applyFill="1" applyBorder="1" applyAlignment="1">
      <alignment horizontal="left" vertical="center" wrapText="1"/>
    </xf>
    <xf numFmtId="0" fontId="7" fillId="15" borderId="62" xfId="0" applyFont="1" applyFill="1" applyBorder="1" applyAlignment="1">
      <alignment horizontal="left" vertical="center" wrapText="1"/>
    </xf>
    <xf numFmtId="0" fontId="7" fillId="15" borderId="42" xfId="0" applyFont="1" applyFill="1" applyBorder="1" applyAlignment="1">
      <alignment horizontal="center" vertical="center" wrapText="1"/>
    </xf>
    <xf numFmtId="0" fontId="7" fillId="15" borderId="17" xfId="0" applyFont="1" applyFill="1" applyBorder="1" applyAlignment="1">
      <alignment horizontal="center" vertical="center" wrapText="1"/>
    </xf>
    <xf numFmtId="0" fontId="7" fillId="15" borderId="19" xfId="0" applyFont="1" applyFill="1" applyBorder="1" applyAlignment="1">
      <alignment horizontal="center" vertical="center" wrapText="1"/>
    </xf>
    <xf numFmtId="0" fontId="7" fillId="15" borderId="18" xfId="0" applyFont="1" applyFill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center" vertical="center" wrapText="1"/>
    </xf>
    <xf numFmtId="0" fontId="7" fillId="15" borderId="12" xfId="0" applyFont="1" applyFill="1" applyBorder="1" applyAlignment="1">
      <alignment horizontal="center" vertical="center" wrapText="1"/>
    </xf>
    <xf numFmtId="0" fontId="7" fillId="15" borderId="13" xfId="0" applyFont="1" applyFill="1" applyBorder="1" applyAlignment="1">
      <alignment horizontal="center" vertical="center" wrapText="1"/>
    </xf>
    <xf numFmtId="0" fontId="7" fillId="15" borderId="20" xfId="0" applyFont="1" applyFill="1" applyBorder="1" applyAlignment="1">
      <alignment horizontal="center" vertical="center" wrapText="1"/>
    </xf>
    <xf numFmtId="0" fontId="7" fillId="15" borderId="15" xfId="0" applyFont="1" applyFill="1" applyBorder="1" applyAlignment="1">
      <alignment horizontal="center" vertical="center" wrapText="1"/>
    </xf>
    <xf numFmtId="0" fontId="7" fillId="15" borderId="21" xfId="0" applyFont="1" applyFill="1" applyBorder="1" applyAlignment="1">
      <alignment horizontal="center" vertical="center" wrapText="1"/>
    </xf>
    <xf numFmtId="0" fontId="7" fillId="15" borderId="22" xfId="0" applyFont="1" applyFill="1" applyBorder="1" applyAlignment="1">
      <alignment horizontal="center" vertical="center" wrapText="1"/>
    </xf>
    <xf numFmtId="0" fontId="7" fillId="15" borderId="58" xfId="0" applyFont="1" applyFill="1" applyBorder="1" applyAlignment="1">
      <alignment horizontal="center" vertical="center" wrapText="1"/>
    </xf>
    <xf numFmtId="0" fontId="7" fillId="15" borderId="23" xfId="0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textRotation="90" wrapText="1"/>
    </xf>
    <xf numFmtId="0" fontId="6" fillId="15" borderId="24" xfId="0" applyFont="1" applyFill="1" applyBorder="1" applyAlignment="1">
      <alignment horizontal="center" vertical="center" textRotation="90" wrapText="1"/>
    </xf>
    <xf numFmtId="0" fontId="6" fillId="15" borderId="4" xfId="0" applyFont="1" applyFill="1" applyBorder="1" applyAlignment="1">
      <alignment horizontal="center" vertical="center" textRotation="90" wrapText="1"/>
    </xf>
    <xf numFmtId="43" fontId="6" fillId="15" borderId="3" xfId="27" applyNumberFormat="1" applyFont="1" applyFill="1" applyBorder="1" applyAlignment="1">
      <alignment horizontal="center" vertical="center" textRotation="90" wrapText="1"/>
    </xf>
    <xf numFmtId="43" fontId="6" fillId="15" borderId="4" xfId="27" applyNumberFormat="1" applyFont="1" applyFill="1" applyBorder="1" applyAlignment="1">
      <alignment horizontal="center" vertical="center" textRotation="90" wrapText="1"/>
    </xf>
    <xf numFmtId="0" fontId="6" fillId="15" borderId="11" xfId="0" applyFont="1" applyFill="1" applyBorder="1" applyAlignment="1">
      <alignment horizontal="center" vertical="center" wrapText="1"/>
    </xf>
    <xf numFmtId="0" fontId="6" fillId="15" borderId="2" xfId="0" applyFont="1" applyFill="1" applyBorder="1" applyAlignment="1">
      <alignment horizontal="center" vertical="center" wrapText="1"/>
    </xf>
    <xf numFmtId="0" fontId="6" fillId="15" borderId="9" xfId="0" applyFont="1" applyFill="1" applyBorder="1" applyAlignment="1">
      <alignment horizontal="center" vertical="center" wrapText="1"/>
    </xf>
    <xf numFmtId="0" fontId="8" fillId="15" borderId="0" xfId="0" applyFont="1" applyFill="1" applyAlignment="1">
      <alignment horizontal="left" vertical="top" wrapText="1"/>
    </xf>
    <xf numFmtId="0" fontId="8" fillId="15" borderId="0" xfId="0" applyFont="1" applyFill="1" applyAlignment="1">
      <alignment horizontal="left" wrapText="1"/>
    </xf>
    <xf numFmtId="0" fontId="5" fillId="15" borderId="0" xfId="0" applyFont="1" applyFill="1" applyAlignment="1">
      <alignment horizontal="right" vertical="top" wrapText="1"/>
    </xf>
    <xf numFmtId="0" fontId="11" fillId="15" borderId="0" xfId="0" applyFont="1" applyFill="1" applyAlignment="1">
      <alignment horizontal="center" vertical="center" wrapText="1"/>
    </xf>
    <xf numFmtId="0" fontId="12" fillId="15" borderId="0" xfId="0" applyFont="1" applyFill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wrapText="1"/>
    </xf>
    <xf numFmtId="0" fontId="6" fillId="15" borderId="24" xfId="0" applyFont="1" applyFill="1" applyBorder="1" applyAlignment="1">
      <alignment horizontal="center" vertical="center" wrapText="1"/>
    </xf>
    <xf numFmtId="0" fontId="6" fillId="15" borderId="4" xfId="0" applyFont="1" applyFill="1" applyBorder="1" applyAlignment="1">
      <alignment horizontal="center" vertical="center" wrapText="1"/>
    </xf>
    <xf numFmtId="4" fontId="6" fillId="15" borderId="3" xfId="0" applyNumberFormat="1" applyFont="1" applyFill="1" applyBorder="1" applyAlignment="1">
      <alignment horizontal="center" vertical="center" textRotation="90" wrapText="1"/>
    </xf>
    <xf numFmtId="4" fontId="6" fillId="15" borderId="24" xfId="0" applyNumberFormat="1" applyFont="1" applyFill="1" applyBorder="1" applyAlignment="1">
      <alignment horizontal="center" vertical="center" textRotation="90" wrapText="1"/>
    </xf>
    <xf numFmtId="4" fontId="6" fillId="15" borderId="4" xfId="0" applyNumberFormat="1" applyFont="1" applyFill="1" applyBorder="1" applyAlignment="1">
      <alignment horizontal="center" vertical="center" textRotation="90" wrapText="1"/>
    </xf>
    <xf numFmtId="0" fontId="6" fillId="15" borderId="56" xfId="0" applyFont="1" applyFill="1" applyBorder="1" applyAlignment="1">
      <alignment horizontal="center" vertical="center" textRotation="90" wrapText="1"/>
    </xf>
    <xf numFmtId="0" fontId="6" fillId="15" borderId="0" xfId="0" applyFont="1" applyFill="1" applyAlignment="1">
      <alignment horizontal="center" vertical="center" wrapText="1"/>
    </xf>
    <xf numFmtId="0" fontId="33" fillId="15" borderId="65" xfId="0" applyFont="1" applyFill="1" applyBorder="1" applyAlignment="1">
      <alignment horizontal="center"/>
    </xf>
    <xf numFmtId="166" fontId="32" fillId="15" borderId="1" xfId="27" applyNumberFormat="1" applyFont="1" applyFill="1" applyBorder="1" applyAlignment="1" applyProtection="1">
      <alignment horizontal="right"/>
    </xf>
    <xf numFmtId="166" fontId="33" fillId="15" borderId="35" xfId="27" applyNumberFormat="1" applyFont="1" applyFill="1" applyBorder="1" applyAlignment="1">
      <alignment horizontal="right"/>
    </xf>
    <xf numFmtId="0" fontId="6" fillId="15" borderId="10" xfId="20" applyFont="1" applyFill="1" applyBorder="1" applyAlignment="1">
      <alignment horizontal="center" vertical="center" wrapText="1"/>
    </xf>
    <xf numFmtId="1" fontId="6" fillId="15" borderId="11" xfId="19" applyNumberFormat="1" applyFont="1" applyFill="1" applyBorder="1" applyAlignment="1">
      <alignment horizontal="center" vertical="center" wrapText="1"/>
    </xf>
    <xf numFmtId="1" fontId="6" fillId="15" borderId="5" xfId="19" applyNumberFormat="1" applyFont="1" applyFill="1" applyBorder="1" applyAlignment="1">
      <alignment horizontal="center" vertical="center" wrapText="1"/>
    </xf>
    <xf numFmtId="0" fontId="6" fillId="15" borderId="0" xfId="0" applyFont="1" applyFill="1" applyBorder="1" applyAlignment="1">
      <alignment horizontal="left" vertical="top" wrapText="1"/>
    </xf>
    <xf numFmtId="0" fontId="33" fillId="15" borderId="0" xfId="0" applyFont="1" applyFill="1" applyAlignment="1">
      <alignment horizontal="center" vertical="center"/>
    </xf>
    <xf numFmtId="166" fontId="33" fillId="15" borderId="5" xfId="19" applyNumberFormat="1" applyFont="1" applyFill="1" applyBorder="1"/>
    <xf numFmtId="166" fontId="6" fillId="15" borderId="49" xfId="0" applyNumberFormat="1" applyFont="1" applyFill="1" applyBorder="1" applyAlignment="1">
      <alignment horizontal="right" vertical="center" wrapText="1"/>
    </xf>
    <xf numFmtId="166" fontId="33" fillId="15" borderId="5" xfId="19" applyNumberFormat="1" applyFont="1" applyFill="1" applyBorder="1" applyAlignment="1">
      <alignment horizontal="right"/>
    </xf>
    <xf numFmtId="4" fontId="6" fillId="15" borderId="5" xfId="21" applyNumberFormat="1" applyFont="1" applyFill="1" applyBorder="1" applyAlignment="1">
      <alignment horizontal="right" vertical="center" wrapText="1"/>
    </xf>
    <xf numFmtId="2" fontId="0" fillId="15" borderId="0" xfId="0" applyNumberFormat="1" applyFont="1" applyFill="1">
      <alignment horizontal="left" vertical="center" wrapText="1"/>
    </xf>
    <xf numFmtId="166" fontId="6" fillId="15" borderId="6" xfId="0" applyNumberFormat="1" applyFont="1" applyFill="1" applyBorder="1" applyAlignment="1">
      <alignment horizontal="right" vertical="center" wrapText="1"/>
    </xf>
    <xf numFmtId="166" fontId="6" fillId="15" borderId="46" xfId="27" applyNumberFormat="1" applyFont="1" applyFill="1" applyBorder="1" applyAlignment="1">
      <alignment horizontal="right" vertical="center" wrapText="1"/>
    </xf>
    <xf numFmtId="166" fontId="6" fillId="15" borderId="50" xfId="27" applyNumberFormat="1" applyFont="1" applyFill="1" applyBorder="1" applyAlignment="1">
      <alignment horizontal="right" vertical="center" wrapText="1"/>
    </xf>
    <xf numFmtId="166" fontId="6" fillId="15" borderId="49" xfId="27" applyNumberFormat="1" applyFont="1" applyFill="1" applyBorder="1" applyAlignment="1">
      <alignment horizontal="right" vertical="center" wrapText="1"/>
    </xf>
    <xf numFmtId="166" fontId="6" fillId="15" borderId="8" xfId="27" applyNumberFormat="1" applyFont="1" applyFill="1" applyBorder="1" applyAlignment="1">
      <alignment horizontal="right" vertical="center" wrapText="1"/>
    </xf>
    <xf numFmtId="168" fontId="6" fillId="15" borderId="10" xfId="27" applyNumberFormat="1" applyFont="1" applyFill="1" applyBorder="1" applyAlignment="1">
      <alignment horizontal="right" vertical="center" wrapText="1"/>
    </xf>
    <xf numFmtId="4" fontId="32" fillId="15" borderId="5" xfId="0" applyNumberFormat="1" applyFont="1" applyFill="1" applyBorder="1" applyAlignment="1">
      <alignment horizontal="right" vertical="center"/>
    </xf>
    <xf numFmtId="43" fontId="6" fillId="15" borderId="66" xfId="27" applyNumberFormat="1" applyFont="1" applyFill="1" applyBorder="1" applyAlignment="1">
      <alignment horizontal="center" vertical="center" wrapText="1"/>
    </xf>
    <xf numFmtId="43" fontId="6" fillId="15" borderId="12" xfId="27" applyFont="1" applyFill="1" applyBorder="1" applyAlignment="1">
      <alignment horizontal="right" vertical="center" wrapText="1"/>
    </xf>
    <xf numFmtId="43" fontId="6" fillId="15" borderId="15" xfId="27" applyNumberFormat="1" applyFont="1" applyFill="1" applyBorder="1" applyAlignment="1">
      <alignment horizontal="center" vertical="center" wrapText="1"/>
    </xf>
    <xf numFmtId="4" fontId="33" fillId="15" borderId="49" xfId="27" applyNumberFormat="1" applyFont="1" applyFill="1" applyBorder="1" applyAlignment="1">
      <alignment horizontal="right" vertical="center" wrapText="1"/>
    </xf>
    <xf numFmtId="43" fontId="6" fillId="15" borderId="1" xfId="27" applyNumberFormat="1" applyFont="1" applyFill="1" applyBorder="1" applyAlignment="1">
      <alignment horizontal="right" vertical="center" wrapText="1"/>
    </xf>
    <xf numFmtId="4" fontId="33" fillId="15" borderId="56" xfId="27" applyNumberFormat="1" applyFont="1" applyFill="1" applyBorder="1" applyAlignment="1">
      <alignment horizontal="right" vertical="center" wrapText="1"/>
    </xf>
    <xf numFmtId="43" fontId="6" fillId="15" borderId="6" xfId="27" applyNumberFormat="1" applyFont="1" applyFill="1" applyBorder="1" applyAlignment="1">
      <alignment horizontal="right" vertical="center" wrapText="1"/>
    </xf>
    <xf numFmtId="43" fontId="6" fillId="15" borderId="6" xfId="27" applyFont="1" applyFill="1" applyBorder="1" applyAlignment="1">
      <alignment horizontal="left" vertical="center" wrapText="1"/>
    </xf>
    <xf numFmtId="43" fontId="6" fillId="15" borderId="5" xfId="27" applyFont="1" applyFill="1" applyBorder="1" applyAlignment="1">
      <alignment horizontal="left" vertical="center" wrapText="1"/>
    </xf>
    <xf numFmtId="43" fontId="6" fillId="15" borderId="5" xfId="27" applyFont="1" applyFill="1" applyBorder="1" applyAlignment="1">
      <alignment horizontal="center" vertical="center" wrapText="1"/>
    </xf>
    <xf numFmtId="1" fontId="6" fillId="15" borderId="44" xfId="27" applyNumberFormat="1" applyFont="1" applyFill="1" applyBorder="1" applyAlignment="1">
      <alignment horizontal="center" vertical="center" wrapText="1"/>
    </xf>
    <xf numFmtId="168" fontId="6" fillId="15" borderId="45" xfId="27" applyNumberFormat="1" applyFont="1" applyFill="1" applyBorder="1" applyAlignment="1">
      <alignment horizontal="right" vertical="center" wrapText="1"/>
    </xf>
    <xf numFmtId="166" fontId="6" fillId="15" borderId="45" xfId="27" applyNumberFormat="1" applyFont="1" applyFill="1" applyBorder="1" applyAlignment="1">
      <alignment horizontal="right" vertical="center" wrapText="1"/>
    </xf>
    <xf numFmtId="0" fontId="6" fillId="15" borderId="1" xfId="0" applyFont="1" applyFill="1" applyBorder="1" applyAlignment="1">
      <alignment horizontal="right" vertical="center" wrapText="1"/>
    </xf>
    <xf numFmtId="4" fontId="33" fillId="15" borderId="49" xfId="0" applyNumberFormat="1" applyFont="1" applyFill="1" applyBorder="1" applyAlignment="1">
      <alignment horizontal="left"/>
    </xf>
    <xf numFmtId="0" fontId="33" fillId="15" borderId="49" xfId="0" applyFont="1" applyFill="1" applyBorder="1" applyAlignment="1">
      <alignment horizontal="center"/>
    </xf>
    <xf numFmtId="0" fontId="6" fillId="15" borderId="0" xfId="0" applyFont="1" applyFill="1" applyAlignment="1">
      <alignment horizontal="left" vertical="center" wrapText="1"/>
    </xf>
    <xf numFmtId="4" fontId="6" fillId="15" borderId="5" xfId="0" applyNumberFormat="1" applyFont="1" applyFill="1" applyBorder="1" applyAlignment="1">
      <alignment vertical="center" wrapText="1"/>
    </xf>
    <xf numFmtId="4" fontId="6" fillId="15" borderId="5" xfId="0" applyNumberFormat="1" applyFont="1" applyFill="1" applyBorder="1" applyAlignment="1">
      <alignment horizontal="right" vertical="center" wrapText="1"/>
    </xf>
    <xf numFmtId="4" fontId="10" fillId="15" borderId="5" xfId="0" applyNumberFormat="1" applyFont="1" applyFill="1" applyBorder="1" applyAlignment="1">
      <alignment horizontal="right" vertical="center" wrapText="1"/>
    </xf>
    <xf numFmtId="43" fontId="6" fillId="15" borderId="52" xfId="27" applyFont="1" applyFill="1" applyBorder="1" applyAlignment="1">
      <alignment horizontal="center" vertical="center" wrapText="1"/>
    </xf>
    <xf numFmtId="0" fontId="6" fillId="15" borderId="51" xfId="0" applyFont="1" applyFill="1" applyBorder="1" applyAlignment="1">
      <alignment horizontal="center" vertical="center" wrapText="1"/>
    </xf>
    <xf numFmtId="0" fontId="33" fillId="15" borderId="6" xfId="0" applyFont="1" applyFill="1" applyBorder="1" applyAlignment="1">
      <alignment horizontal="center" vertical="center" wrapText="1"/>
    </xf>
    <xf numFmtId="166" fontId="32" fillId="15" borderId="1" xfId="27" applyNumberFormat="1" applyFont="1" applyFill="1" applyBorder="1" applyAlignment="1">
      <alignment horizontal="right" vertical="center"/>
    </xf>
    <xf numFmtId="168" fontId="33" fillId="15" borderId="6" xfId="27" applyNumberFormat="1" applyFont="1" applyFill="1" applyBorder="1" applyAlignment="1">
      <alignment horizontal="right" vertical="center" wrapText="1"/>
    </xf>
    <xf numFmtId="43" fontId="33" fillId="15" borderId="49" xfId="27" applyNumberFormat="1" applyFont="1" applyFill="1" applyBorder="1" applyAlignment="1">
      <alignment horizontal="right" vertical="center" wrapText="1"/>
    </xf>
  </cellXfs>
  <cellStyles count="32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 customBuiltin="1"/>
    <cellStyle name="Обычный 2" xfId="19"/>
    <cellStyle name="Обычный 3" xfId="20"/>
    <cellStyle name="Обычный 4" xfId="30"/>
    <cellStyle name="Обычный_Краткосрочный план 2016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Примечание 2" xfId="31"/>
    <cellStyle name="Связанная ячейка" xfId="25" builtinId="24" customBuiltin="1"/>
    <cellStyle name="Текст предупреждения" xfId="26" builtinId="11" customBuiltin="1"/>
    <cellStyle name="Финансовый" xfId="27" builtinId="3" customBuiltin="1"/>
    <cellStyle name="Финансовый 2" xfId="28"/>
    <cellStyle name="Хороший" xfId="29" builtinId="26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trushkova\Local%20Settings\Temporary%20Internet%20Files\Content.Outlook\IHEZPQLT\&#1042;&#1089;&#1077;%20&#1076;&#1086;&#1082;&#1091;&#1084;&#1077;&#1085;&#1090;&#1099;%20&#1089;&#1086;%20&#1089;&#1090;&#1072;&#1088;&#1086;&#1075;&#1086;%20&#1082;&#1086;&#1084;&#1087;&#1072;\&#1057;%20&#1088;&#1072;&#1073;&#1086;&#1095;&#1077;&#1075;&#1086;%20&#1089;&#1090;&#1086;&#1083;&#1072;\&#1050;&#1040;&#1055;&#1056;&#1045;&#1052;&#1054;&#1053;&#1058;\R01%20-%20&#1056;&#1077;&#1077;&#1089;&#1090;&#1088;%20&#1052;&#1050;&#104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trushkova\Local%20Settings\Temporary%20Internet%20Files\Content.Outlook\IHEZPQLT\&#1044;&#1059;&#1041;&#1051;&#1048;&#1056;&#1054;&#1042;&#1040;&#1053;&#1048;&#1045;%20&#1044;&#1054;&#1050;&#1059;&#1052;&#1045;&#1053;&#1058;&#1054;&#1042;%20&#1057;%2006.04.2016\14.01.2016%20%20R01%20(&#1080;&#1079;%20&#1056;&#1055;&#1050;&#1056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"/>
      <sheetName val="Справочники"/>
      <sheetName val="tmpWQ1"/>
    </sheetNames>
    <sheetDataSet>
      <sheetData sheetId="0"/>
      <sheetData sheetId="1">
        <row r="201">
          <cell r="A201" t="str">
            <v>Засыпные с деревянным каркасом</v>
          </cell>
        </row>
        <row r="202">
          <cell r="A202" t="str">
            <v>Каркасно-сборный ж/б</v>
          </cell>
        </row>
        <row r="203">
          <cell r="A203" t="str">
            <v>Железобетонные с металлическим каркасом</v>
          </cell>
        </row>
        <row r="204">
          <cell r="A204" t="str">
            <v>Железобетонные с монолитным каркасом</v>
          </cell>
        </row>
        <row r="205">
          <cell r="A205" t="str">
            <v>Кирпичные со сборным ж/б каркасом</v>
          </cell>
        </row>
        <row r="206">
          <cell r="A206" t="str">
            <v>Кирпичные с металлическим каркасом</v>
          </cell>
        </row>
        <row r="207">
          <cell r="A207" t="str">
            <v>Кирпичные с монолитным каркасом</v>
          </cell>
        </row>
        <row r="208">
          <cell r="A208" t="str">
            <v>Крупноблочные со сборным ж/б каркасом</v>
          </cell>
        </row>
        <row r="209">
          <cell r="A209" t="str">
            <v>Крупноблочные с металлическим каркасом</v>
          </cell>
        </row>
        <row r="210">
          <cell r="A210" t="str">
            <v>Крупноблочные с монолитным каркасом</v>
          </cell>
        </row>
        <row r="211">
          <cell r="A211" t="str">
            <v>Кирпичные</v>
          </cell>
        </row>
        <row r="212">
          <cell r="A212" t="str">
            <v>Крупноблочные силикат</v>
          </cell>
        </row>
        <row r="213">
          <cell r="A213" t="str">
            <v>Крупноблочные ячеистый бетон</v>
          </cell>
        </row>
        <row r="214">
          <cell r="A214" t="str">
            <v>Крупноблочные пеноблоки</v>
          </cell>
        </row>
        <row r="215">
          <cell r="A215" t="str">
            <v>Крупноблочные газоблоки</v>
          </cell>
        </row>
        <row r="216">
          <cell r="A216" t="str">
            <v>Панельные</v>
          </cell>
        </row>
        <row r="217">
          <cell r="A217" t="str">
            <v>Монолитные</v>
          </cell>
        </row>
        <row r="218">
          <cell r="A218" t="str">
            <v>Каменные</v>
          </cell>
        </row>
        <row r="219">
          <cell r="A219" t="str">
            <v>Бревно (брус)</v>
          </cell>
        </row>
        <row r="220">
          <cell r="A220" t="str">
            <v>Шпалы</v>
          </cell>
        </row>
        <row r="221">
          <cell r="A221" t="str">
            <v>Деревянные щитовые</v>
          </cell>
        </row>
        <row r="222">
          <cell r="A222" t="str">
            <v>Комбинированные</v>
          </cell>
        </row>
        <row r="223">
          <cell r="A223" t="str">
            <v>Многослойные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"/>
      <sheetName val="Реестр (2)"/>
      <sheetName val="Реестр (3)"/>
    </sheetNames>
    <sheetDataSet>
      <sheetData sheetId="0" refreshError="1">
        <row r="3245">
          <cell r="AI3245">
            <v>9</v>
          </cell>
          <cell r="AV3245" t="str">
            <v>панельные</v>
          </cell>
          <cell r="AX3245" t="str">
            <v>плоская</v>
          </cell>
        </row>
        <row r="5773">
          <cell r="AX5773" t="str">
            <v>скатная</v>
          </cell>
        </row>
        <row r="5774">
          <cell r="AX5774" t="str">
            <v>скатная</v>
          </cell>
        </row>
        <row r="5799">
          <cell r="AX5799" t="str">
            <v>плоская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67"/>
  <sheetViews>
    <sheetView tabSelected="1" view="pageBreakPreview" topLeftCell="A8" zoomScaleNormal="100" zoomScaleSheetLayoutView="100" zoomScalePageLayoutView="80" workbookViewId="0">
      <pane xSplit="5" ySplit="9" topLeftCell="M17" activePane="bottomRight" state="frozen"/>
      <selection activeCell="A8" sqref="A8"/>
      <selection pane="topRight" activeCell="F8" sqref="F8"/>
      <selection pane="bottomLeft" activeCell="A17" sqref="A17"/>
      <selection pane="bottomRight" activeCell="B449" sqref="B449"/>
    </sheetView>
  </sheetViews>
  <sheetFormatPr defaultColWidth="9.33203125" defaultRowHeight="12.75"/>
  <cols>
    <col min="1" max="1" width="7.83203125" style="2" customWidth="1"/>
    <col min="2" max="2" width="67" style="2" customWidth="1"/>
    <col min="3" max="3" width="12.6640625" style="8" customWidth="1"/>
    <col min="4" max="4" width="8.33203125" style="8" customWidth="1"/>
    <col min="5" max="5" width="11.33203125" style="8" customWidth="1"/>
    <col min="6" max="6" width="16.1640625" style="102" customWidth="1"/>
    <col min="7" max="7" width="16" style="102" customWidth="1"/>
    <col min="8" max="8" width="20.6640625" style="10" customWidth="1"/>
    <col min="9" max="9" width="20.6640625" style="9" customWidth="1"/>
    <col min="10" max="10" width="18.83203125" style="9" customWidth="1"/>
    <col min="11" max="11" width="20.33203125" style="9" customWidth="1"/>
    <col min="12" max="12" width="15.6640625" style="9" customWidth="1"/>
    <col min="13" max="13" width="18.83203125" style="9" customWidth="1"/>
    <col min="14" max="14" width="18.1640625" style="9" customWidth="1"/>
    <col min="15" max="15" width="19.33203125" style="9" customWidth="1"/>
    <col min="16" max="16" width="13.33203125" style="9" customWidth="1"/>
    <col min="17" max="17" width="12.33203125" style="9" customWidth="1"/>
    <col min="18" max="18" width="12.1640625" style="9" customWidth="1"/>
    <col min="19" max="19" width="24.33203125" style="100" customWidth="1"/>
    <col min="20" max="20" width="10.83203125" style="8" customWidth="1"/>
    <col min="21" max="21" width="11" style="8" customWidth="1"/>
    <col min="22" max="22" width="23.33203125" style="228" customWidth="1"/>
    <col min="23" max="23" width="8.5" style="2" customWidth="1"/>
    <col min="24" max="24" width="11.5" style="2" customWidth="1"/>
    <col min="25" max="25" width="13.5" style="2" customWidth="1"/>
    <col min="26" max="26" width="15.5" style="2" customWidth="1"/>
    <col min="27" max="32" width="3.6640625" style="2" customWidth="1"/>
    <col min="33" max="16384" width="9.33203125" style="2"/>
  </cols>
  <sheetData>
    <row r="1" spans="1:22" s="4" customFormat="1" ht="40.5">
      <c r="C1" s="5"/>
      <c r="D1" s="5"/>
      <c r="E1" s="5"/>
      <c r="F1" s="104"/>
      <c r="G1" s="104"/>
      <c r="H1" s="7"/>
      <c r="I1" s="6"/>
      <c r="J1" s="6"/>
      <c r="K1" s="6"/>
      <c r="L1" s="6"/>
      <c r="M1" s="6"/>
      <c r="N1" s="364" t="s">
        <v>476</v>
      </c>
      <c r="O1" s="364"/>
      <c r="P1" s="364"/>
      <c r="Q1" s="364"/>
      <c r="R1" s="364"/>
      <c r="S1" s="88"/>
      <c r="T1" s="5"/>
      <c r="U1" s="5"/>
    </row>
    <row r="2" spans="1:22" ht="40.5">
      <c r="N2" s="364" t="s">
        <v>473</v>
      </c>
      <c r="O2" s="364"/>
      <c r="P2" s="364"/>
      <c r="Q2" s="364"/>
      <c r="R2" s="364"/>
      <c r="S2" s="88"/>
    </row>
    <row r="3" spans="1:22" ht="40.5">
      <c r="N3" s="364" t="s">
        <v>130</v>
      </c>
      <c r="O3" s="364"/>
      <c r="P3" s="364"/>
      <c r="Q3" s="364"/>
      <c r="R3" s="364"/>
      <c r="S3" s="88"/>
    </row>
    <row r="4" spans="1:22" ht="40.5">
      <c r="N4" s="365" t="s">
        <v>506</v>
      </c>
      <c r="O4" s="365"/>
      <c r="P4" s="365"/>
      <c r="Q4" s="365"/>
      <c r="R4" s="365"/>
      <c r="S4" s="365"/>
    </row>
    <row r="5" spans="1:22" ht="18.75">
      <c r="A5" s="11"/>
      <c r="B5" s="11"/>
      <c r="C5" s="12"/>
      <c r="D5" s="12"/>
      <c r="E5" s="12"/>
      <c r="F5" s="105"/>
      <c r="G5" s="105"/>
      <c r="H5" s="14"/>
      <c r="I5" s="13"/>
      <c r="J5" s="13"/>
      <c r="K5" s="13"/>
      <c r="L5" s="13"/>
      <c r="M5" s="13"/>
      <c r="N5" s="366"/>
      <c r="O5" s="366"/>
      <c r="P5" s="366"/>
      <c r="Q5" s="366"/>
      <c r="R5" s="366"/>
      <c r="S5" s="366"/>
      <c r="T5" s="12"/>
      <c r="U5" s="12"/>
    </row>
    <row r="6" spans="1:22" ht="22.5">
      <c r="A6" s="367" t="s">
        <v>472</v>
      </c>
      <c r="B6" s="367"/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7"/>
      <c r="P6" s="367"/>
      <c r="Q6" s="367"/>
      <c r="R6" s="367"/>
      <c r="S6" s="367"/>
      <c r="T6" s="367"/>
      <c r="U6" s="367"/>
    </row>
    <row r="7" spans="1:22" ht="22.5">
      <c r="A7" s="231"/>
      <c r="B7" s="231"/>
      <c r="C7" s="231"/>
      <c r="D7" s="231"/>
      <c r="E7" s="231"/>
      <c r="F7" s="106"/>
      <c r="G7" s="106"/>
      <c r="H7" s="87"/>
      <c r="I7" s="86"/>
      <c r="J7" s="86"/>
      <c r="K7" s="86"/>
      <c r="L7" s="86"/>
      <c r="M7" s="86"/>
      <c r="N7" s="86"/>
      <c r="O7" s="86"/>
      <c r="P7" s="86"/>
      <c r="Q7" s="86"/>
      <c r="R7" s="86"/>
      <c r="S7" s="89"/>
      <c r="T7" s="231"/>
      <c r="U7" s="231"/>
    </row>
    <row r="8" spans="1:22" ht="23.25">
      <c r="A8" s="368" t="s">
        <v>470</v>
      </c>
      <c r="B8" s="368"/>
      <c r="C8" s="368"/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368"/>
      <c r="P8" s="368"/>
      <c r="Q8" s="368"/>
      <c r="R8" s="368"/>
      <c r="S8" s="368"/>
      <c r="T8" s="368"/>
      <c r="U8" s="368"/>
    </row>
    <row r="9" spans="1:22" ht="18.75">
      <c r="A9" s="15"/>
      <c r="B9" s="15"/>
      <c r="C9" s="15"/>
      <c r="D9" s="15"/>
      <c r="E9" s="15"/>
      <c r="F9" s="107"/>
      <c r="G9" s="107"/>
      <c r="H9" s="17"/>
      <c r="I9" s="16"/>
      <c r="J9" s="16"/>
      <c r="K9" s="16"/>
      <c r="L9" s="16"/>
      <c r="M9" s="16"/>
      <c r="N9" s="16"/>
      <c r="O9" s="16"/>
      <c r="P9" s="16"/>
      <c r="Q9" s="16"/>
      <c r="R9" s="16"/>
      <c r="S9" s="90"/>
      <c r="T9" s="15"/>
      <c r="U9" s="15"/>
    </row>
    <row r="10" spans="1:22" ht="15.75" customHeight="1">
      <c r="A10" s="369" t="s">
        <v>0</v>
      </c>
      <c r="B10" s="369" t="s">
        <v>1</v>
      </c>
      <c r="C10" s="356" t="s">
        <v>2</v>
      </c>
      <c r="D10" s="356" t="s">
        <v>471</v>
      </c>
      <c r="E10" s="356" t="s">
        <v>497</v>
      </c>
      <c r="F10" s="372" t="s">
        <v>3</v>
      </c>
      <c r="G10" s="372" t="s">
        <v>116</v>
      </c>
      <c r="H10" s="361" t="s">
        <v>36</v>
      </c>
      <c r="I10" s="362"/>
      <c r="J10" s="362"/>
      <c r="K10" s="362"/>
      <c r="L10" s="362"/>
      <c r="M10" s="362"/>
      <c r="N10" s="362"/>
      <c r="O10" s="362"/>
      <c r="P10" s="362"/>
      <c r="Q10" s="362"/>
      <c r="R10" s="362"/>
      <c r="S10" s="363"/>
      <c r="T10" s="356" t="s">
        <v>38</v>
      </c>
      <c r="U10" s="356" t="s">
        <v>39</v>
      </c>
    </row>
    <row r="11" spans="1:22" ht="15.6" customHeight="1">
      <c r="A11" s="370"/>
      <c r="B11" s="370"/>
      <c r="C11" s="357"/>
      <c r="D11" s="357"/>
      <c r="E11" s="357"/>
      <c r="F11" s="373"/>
      <c r="G11" s="373"/>
      <c r="H11" s="359" t="s">
        <v>4</v>
      </c>
      <c r="I11" s="356" t="s">
        <v>5</v>
      </c>
      <c r="J11" s="356" t="s">
        <v>6</v>
      </c>
      <c r="K11" s="356" t="s">
        <v>7</v>
      </c>
      <c r="L11" s="356" t="s">
        <v>8</v>
      </c>
      <c r="M11" s="356" t="s">
        <v>9</v>
      </c>
      <c r="N11" s="356" t="s">
        <v>10</v>
      </c>
      <c r="O11" s="356" t="s">
        <v>37</v>
      </c>
      <c r="P11" s="361" t="s">
        <v>11</v>
      </c>
      <c r="Q11" s="362"/>
      <c r="R11" s="362"/>
      <c r="S11" s="363"/>
      <c r="T11" s="357"/>
      <c r="U11" s="357"/>
    </row>
    <row r="12" spans="1:22" ht="86.45" customHeight="1">
      <c r="A12" s="370"/>
      <c r="B12" s="370"/>
      <c r="C12" s="357"/>
      <c r="D12" s="357"/>
      <c r="E12" s="357"/>
      <c r="F12" s="374"/>
      <c r="G12" s="374"/>
      <c r="H12" s="360"/>
      <c r="I12" s="358"/>
      <c r="J12" s="358"/>
      <c r="K12" s="358"/>
      <c r="L12" s="358"/>
      <c r="M12" s="358"/>
      <c r="N12" s="358"/>
      <c r="O12" s="358"/>
      <c r="P12" s="18" t="s">
        <v>23</v>
      </c>
      <c r="Q12" s="18" t="s">
        <v>34</v>
      </c>
      <c r="R12" s="18" t="s">
        <v>12</v>
      </c>
      <c r="S12" s="91" t="s">
        <v>33</v>
      </c>
      <c r="T12" s="357"/>
      <c r="U12" s="357"/>
    </row>
    <row r="13" spans="1:22" ht="15.75">
      <c r="A13" s="371"/>
      <c r="B13" s="371"/>
      <c r="C13" s="358"/>
      <c r="D13" s="375"/>
      <c r="E13" s="375"/>
      <c r="F13" s="108" t="s">
        <v>13</v>
      </c>
      <c r="G13" s="108" t="s">
        <v>13</v>
      </c>
      <c r="H13" s="19" t="s">
        <v>14</v>
      </c>
      <c r="I13" s="47" t="s">
        <v>14</v>
      </c>
      <c r="J13" s="47" t="s">
        <v>14</v>
      </c>
      <c r="K13" s="47" t="s">
        <v>14</v>
      </c>
      <c r="L13" s="47" t="s">
        <v>14</v>
      </c>
      <c r="M13" s="47" t="s">
        <v>14</v>
      </c>
      <c r="N13" s="47" t="s">
        <v>14</v>
      </c>
      <c r="O13" s="47" t="s">
        <v>14</v>
      </c>
      <c r="P13" s="47" t="s">
        <v>14</v>
      </c>
      <c r="Q13" s="47" t="s">
        <v>14</v>
      </c>
      <c r="R13" s="47" t="s">
        <v>14</v>
      </c>
      <c r="S13" s="92" t="s">
        <v>14</v>
      </c>
      <c r="T13" s="358"/>
      <c r="U13" s="358"/>
    </row>
    <row r="14" spans="1:22" ht="15.75">
      <c r="A14" s="47" t="s">
        <v>15</v>
      </c>
      <c r="B14" s="47" t="s">
        <v>16</v>
      </c>
      <c r="C14" s="47" t="s">
        <v>17</v>
      </c>
      <c r="D14" s="146">
        <v>4</v>
      </c>
      <c r="E14" s="146">
        <v>5</v>
      </c>
      <c r="F14" s="47">
        <v>6</v>
      </c>
      <c r="G14" s="47">
        <v>7</v>
      </c>
      <c r="H14" s="47">
        <v>8</v>
      </c>
      <c r="I14" s="47">
        <v>9</v>
      </c>
      <c r="J14" s="47">
        <v>10</v>
      </c>
      <c r="K14" s="47">
        <v>11</v>
      </c>
      <c r="L14" s="47">
        <v>12</v>
      </c>
      <c r="M14" s="47">
        <v>13</v>
      </c>
      <c r="N14" s="47">
        <v>14</v>
      </c>
      <c r="O14" s="47">
        <v>15</v>
      </c>
      <c r="P14" s="20">
        <v>16</v>
      </c>
      <c r="Q14" s="103">
        <v>17</v>
      </c>
      <c r="R14" s="20">
        <v>18</v>
      </c>
      <c r="S14" s="20">
        <v>19</v>
      </c>
      <c r="T14" s="20">
        <v>20</v>
      </c>
      <c r="U14" s="20">
        <v>21</v>
      </c>
    </row>
    <row r="15" spans="1:22" ht="15.75">
      <c r="A15" s="327" t="s">
        <v>262</v>
      </c>
      <c r="B15" s="328"/>
      <c r="C15" s="21"/>
      <c r="D15" s="21"/>
      <c r="E15" s="21"/>
      <c r="F15" s="93">
        <f>F29+F38+F46+F61+F200+F210+F228+F269+F273+F277+F280+F313+F318+F326+F338+F343+F347+F357+F361+F369+F376+F379+F382+F386+F392+F397+F419+F439+F444+F450</f>
        <v>1251465.4099999997</v>
      </c>
      <c r="G15" s="93">
        <f t="shared" ref="G15:S15" si="0">G29+G38+G46+G61+G200+G210+G228+G269+G273+G277+G280+G313+G318+G326+G338+G343+G347+G357+G361+G369+G376+G379+G382+G386+G392+G397+G419+G439+G444+G450</f>
        <v>1086652.6300000001</v>
      </c>
      <c r="H15" s="93">
        <f t="shared" si="0"/>
        <v>1125536469.4299998</v>
      </c>
      <c r="I15" s="93">
        <f t="shared" si="0"/>
        <v>337441784.8900001</v>
      </c>
      <c r="J15" s="93">
        <f t="shared" si="0"/>
        <v>169744861.70999995</v>
      </c>
      <c r="K15" s="93">
        <f t="shared" si="0"/>
        <v>433171237.63</v>
      </c>
      <c r="L15" s="93">
        <f t="shared" si="0"/>
        <v>895403.75</v>
      </c>
      <c r="M15" s="93">
        <f t="shared" si="0"/>
        <v>142786325.06</v>
      </c>
      <c r="N15" s="93">
        <f t="shared" si="0"/>
        <v>2692823.44</v>
      </c>
      <c r="O15" s="93">
        <f t="shared" si="0"/>
        <v>38804032.95000001</v>
      </c>
      <c r="P15" s="27">
        <f t="shared" si="0"/>
        <v>0</v>
      </c>
      <c r="Q15" s="27">
        <f t="shared" si="0"/>
        <v>0</v>
      </c>
      <c r="R15" s="27">
        <f t="shared" si="0"/>
        <v>0</v>
      </c>
      <c r="S15" s="27">
        <f t="shared" si="0"/>
        <v>1125536469.4299998</v>
      </c>
      <c r="T15" s="22" t="s">
        <v>113</v>
      </c>
      <c r="U15" s="22" t="s">
        <v>113</v>
      </c>
      <c r="V15" s="145">
        <f>S15+R15</f>
        <v>1125536469.4299998</v>
      </c>
    </row>
    <row r="16" spans="1:22" ht="15.75">
      <c r="A16" s="329" t="s">
        <v>40</v>
      </c>
      <c r="B16" s="345"/>
      <c r="C16" s="345"/>
      <c r="D16" s="339"/>
      <c r="E16" s="339"/>
      <c r="F16" s="345"/>
      <c r="G16" s="345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2"/>
      <c r="T16" s="1"/>
      <c r="U16" s="1"/>
    </row>
    <row r="17" spans="1:25" s="24" customFormat="1" ht="15.75" customHeight="1">
      <c r="A17" s="230">
        <v>1</v>
      </c>
      <c r="B17" s="123" t="s">
        <v>199</v>
      </c>
      <c r="C17" s="111">
        <v>1991</v>
      </c>
      <c r="D17" s="196"/>
      <c r="E17" s="212"/>
      <c r="F17" s="33">
        <v>5284.3</v>
      </c>
      <c r="G17" s="33">
        <v>4141.1000000000004</v>
      </c>
      <c r="H17" s="56">
        <f>I17+J17+K17+L17+M17+N17+O17</f>
        <v>11347324.449999999</v>
      </c>
      <c r="I17" s="49">
        <f>ROUND(690.32*G17,2)-52953.98</f>
        <v>2805730.17</v>
      </c>
      <c r="J17" s="49">
        <f>2*2855540.15</f>
        <v>5711080.2999999998</v>
      </c>
      <c r="K17" s="49">
        <f>ROUND(670.73*G17,2)-51451.24</f>
        <v>2726108.76</v>
      </c>
      <c r="L17" s="49">
        <v>0</v>
      </c>
      <c r="M17" s="49">
        <v>0</v>
      </c>
      <c r="N17" s="49">
        <v>0</v>
      </c>
      <c r="O17" s="189">
        <v>104405.22</v>
      </c>
      <c r="P17" s="49">
        <v>0</v>
      </c>
      <c r="Q17" s="49">
        <v>0</v>
      </c>
      <c r="R17" s="49">
        <v>0</v>
      </c>
      <c r="S17" s="94">
        <f>H17</f>
        <v>11347324.449999999</v>
      </c>
      <c r="T17" s="66">
        <v>2017</v>
      </c>
      <c r="U17" s="66">
        <v>2017</v>
      </c>
      <c r="V17" s="67" t="s">
        <v>145</v>
      </c>
      <c r="W17" s="66">
        <v>9</v>
      </c>
      <c r="X17" s="67" t="s">
        <v>155</v>
      </c>
      <c r="Y17" s="67" t="s">
        <v>202</v>
      </c>
    </row>
    <row r="18" spans="1:25" s="24" customFormat="1" ht="15.75" customHeight="1">
      <c r="A18" s="230">
        <f t="shared" ref="A18:A28" si="1">A17+1</f>
        <v>2</v>
      </c>
      <c r="B18" s="123" t="s">
        <v>139</v>
      </c>
      <c r="C18" s="111">
        <v>1963</v>
      </c>
      <c r="D18" s="196"/>
      <c r="E18" s="212"/>
      <c r="F18" s="33">
        <v>3419.8</v>
      </c>
      <c r="G18" s="33">
        <v>3180.4</v>
      </c>
      <c r="H18" s="56">
        <f>I18+J18+K18+L18+M18+N18+O18</f>
        <v>8058306.6900000004</v>
      </c>
      <c r="I18" s="49">
        <f>ROUND(332.83*G18,2)-30811.35</f>
        <v>1027721.18</v>
      </c>
      <c r="J18" s="49">
        <v>0</v>
      </c>
      <c r="K18" s="49">
        <f>ROUND(1056.15*G18,2)-97771.86</f>
        <v>3261207.6</v>
      </c>
      <c r="L18" s="49">
        <v>0</v>
      </c>
      <c r="M18" s="49">
        <f>ROUND(1144.76*G18,2)-105974.83</f>
        <v>3534819.87</v>
      </c>
      <c r="N18" s="49">
        <v>0</v>
      </c>
      <c r="O18" s="189">
        <v>234558.04</v>
      </c>
      <c r="P18" s="49">
        <v>0</v>
      </c>
      <c r="Q18" s="49">
        <v>0</v>
      </c>
      <c r="R18" s="49">
        <v>0</v>
      </c>
      <c r="S18" s="94">
        <f>H18</f>
        <v>8058306.6900000004</v>
      </c>
      <c r="T18" s="66">
        <v>2017</v>
      </c>
      <c r="U18" s="66">
        <v>2017</v>
      </c>
      <c r="V18" s="67" t="s">
        <v>145</v>
      </c>
      <c r="W18" s="66">
        <v>5</v>
      </c>
      <c r="X18" s="67" t="s">
        <v>155</v>
      </c>
      <c r="Y18" s="67" t="s">
        <v>201</v>
      </c>
    </row>
    <row r="19" spans="1:25" s="24" customFormat="1" ht="15.75" customHeight="1">
      <c r="A19" s="230">
        <f t="shared" si="1"/>
        <v>3</v>
      </c>
      <c r="B19" s="123" t="s">
        <v>138</v>
      </c>
      <c r="C19" s="111">
        <v>1963</v>
      </c>
      <c r="D19" s="196"/>
      <c r="E19" s="212"/>
      <c r="F19" s="33">
        <v>2754.3</v>
      </c>
      <c r="G19" s="33">
        <v>2547.1</v>
      </c>
      <c r="H19" s="56">
        <f>I19+J19+K19+L19+M19+N19+O19</f>
        <v>4360686.1399999997</v>
      </c>
      <c r="I19" s="49">
        <f>ROUND(332.83*G19,2)-31268.76</f>
        <v>816482.53</v>
      </c>
      <c r="J19" s="49">
        <v>0</v>
      </c>
      <c r="K19" s="49">
        <f>ROUND(1072.45*G19,2)-100754.67</f>
        <v>2630882.73</v>
      </c>
      <c r="L19" s="49">
        <v>0</v>
      </c>
      <c r="M19" s="49">
        <f>ROUND(306.74*G19,2)-28817.65</f>
        <v>752479.79999999993</v>
      </c>
      <c r="N19" s="49">
        <v>0</v>
      </c>
      <c r="O19" s="189">
        <v>160841.07999999999</v>
      </c>
      <c r="P19" s="49">
        <v>0</v>
      </c>
      <c r="Q19" s="49">
        <v>0</v>
      </c>
      <c r="R19" s="49">
        <v>0</v>
      </c>
      <c r="S19" s="94">
        <f>H19</f>
        <v>4360686.1399999997</v>
      </c>
      <c r="T19" s="66">
        <v>2017</v>
      </c>
      <c r="U19" s="66">
        <v>2017</v>
      </c>
      <c r="V19" s="67" t="s">
        <v>144</v>
      </c>
      <c r="W19" s="66">
        <v>5</v>
      </c>
      <c r="X19" s="67" t="s">
        <v>155</v>
      </c>
      <c r="Y19" s="67" t="s">
        <v>201</v>
      </c>
    </row>
    <row r="20" spans="1:25" s="24" customFormat="1" ht="15.75" customHeight="1">
      <c r="A20" s="230">
        <f t="shared" si="1"/>
        <v>4</v>
      </c>
      <c r="B20" s="123" t="s">
        <v>492</v>
      </c>
      <c r="C20" s="111">
        <v>1961</v>
      </c>
      <c r="D20" s="196"/>
      <c r="E20" s="212"/>
      <c r="F20" s="33">
        <v>3356.2</v>
      </c>
      <c r="G20" s="33">
        <v>3118.4</v>
      </c>
      <c r="H20" s="56">
        <f>I20+J20+K20+L20+M20+N20+O20</f>
        <v>6863317.7400000002</v>
      </c>
      <c r="I20" s="49">
        <v>0</v>
      </c>
      <c r="J20" s="49">
        <v>0</v>
      </c>
      <c r="K20" s="49">
        <f>ROUND(1056.15*G20,2)-121461.52</f>
        <v>3172036.64</v>
      </c>
      <c r="L20" s="49">
        <v>0</v>
      </c>
      <c r="M20" s="49">
        <f>ROUND(1144.76*G20,2)-131652.02</f>
        <v>3438167.56</v>
      </c>
      <c r="N20" s="49">
        <v>0</v>
      </c>
      <c r="O20" s="189">
        <v>253113.54</v>
      </c>
      <c r="P20" s="49">
        <v>0</v>
      </c>
      <c r="Q20" s="49">
        <v>0</v>
      </c>
      <c r="R20" s="49">
        <v>0</v>
      </c>
      <c r="S20" s="94">
        <f>H20</f>
        <v>6863317.7400000002</v>
      </c>
      <c r="T20" s="66">
        <v>2017</v>
      </c>
      <c r="U20" s="66">
        <v>2017</v>
      </c>
      <c r="V20" s="67" t="s">
        <v>145</v>
      </c>
      <c r="W20" s="66">
        <v>5</v>
      </c>
      <c r="X20" s="67"/>
      <c r="Y20" s="67"/>
    </row>
    <row r="21" spans="1:25" s="24" customFormat="1" ht="15.75" customHeight="1">
      <c r="A21" s="230">
        <f t="shared" si="1"/>
        <v>5</v>
      </c>
      <c r="B21" s="123" t="s">
        <v>140</v>
      </c>
      <c r="C21" s="111">
        <v>1963</v>
      </c>
      <c r="D21" s="196"/>
      <c r="E21" s="212"/>
      <c r="F21" s="33">
        <v>3511.5</v>
      </c>
      <c r="G21" s="33">
        <v>3271.6</v>
      </c>
      <c r="H21" s="56">
        <f>I21+J21+K21+L21+M21+N21+O21</f>
        <v>4544186.97</v>
      </c>
      <c r="I21" s="49">
        <f>ROUND(332.83*G21,2)-27964.92</f>
        <v>1060921.71</v>
      </c>
      <c r="J21" s="49">
        <v>0</v>
      </c>
      <c r="K21" s="49">
        <f>ROUND(1056.15*G21,2)-88739.44</f>
        <v>3366560.9</v>
      </c>
      <c r="L21" s="49">
        <v>0</v>
      </c>
      <c r="M21" s="49">
        <v>0</v>
      </c>
      <c r="N21" s="49">
        <v>0</v>
      </c>
      <c r="O21" s="189">
        <v>116704.36</v>
      </c>
      <c r="P21" s="49">
        <v>0</v>
      </c>
      <c r="Q21" s="49">
        <v>0</v>
      </c>
      <c r="R21" s="49">
        <v>0</v>
      </c>
      <c r="S21" s="94">
        <f>H21</f>
        <v>4544186.97</v>
      </c>
      <c r="T21" s="66">
        <v>2017</v>
      </c>
      <c r="U21" s="66">
        <v>2017</v>
      </c>
      <c r="V21" s="67" t="s">
        <v>145</v>
      </c>
      <c r="W21" s="66">
        <v>5</v>
      </c>
      <c r="X21" s="67" t="s">
        <v>155</v>
      </c>
      <c r="Y21" s="67" t="s">
        <v>201</v>
      </c>
    </row>
    <row r="22" spans="1:25" s="24" customFormat="1" ht="15.75" customHeight="1">
      <c r="A22" s="230">
        <f t="shared" si="1"/>
        <v>6</v>
      </c>
      <c r="B22" s="123" t="s">
        <v>141</v>
      </c>
      <c r="C22" s="111">
        <v>1963</v>
      </c>
      <c r="D22" s="196"/>
      <c r="E22" s="212"/>
      <c r="F22" s="33">
        <v>2377.5</v>
      </c>
      <c r="G22" s="33">
        <v>2211.5</v>
      </c>
      <c r="H22" s="56">
        <f>I22+J22+K22+L22+M22+N22+O22</f>
        <v>7303545.1000000006</v>
      </c>
      <c r="I22" s="49">
        <f>ROUND(332.83*G22,2)-16288.93</f>
        <v>719764.62</v>
      </c>
      <c r="J22" s="49">
        <v>0</v>
      </c>
      <c r="K22" s="49">
        <f>ROUND(1824.94*G22,2)-89313.85</f>
        <v>3946540.96</v>
      </c>
      <c r="L22" s="49">
        <v>0</v>
      </c>
      <c r="M22" s="49">
        <f>ROUND(1144.76*G22,2)-56025.36</f>
        <v>2475611.3800000004</v>
      </c>
      <c r="N22" s="49">
        <v>0</v>
      </c>
      <c r="O22" s="189">
        <v>161628.14000000001</v>
      </c>
      <c r="P22" s="49">
        <v>0</v>
      </c>
      <c r="Q22" s="49">
        <v>0</v>
      </c>
      <c r="R22" s="49">
        <v>0</v>
      </c>
      <c r="S22" s="94">
        <f>H22</f>
        <v>7303545.1000000006</v>
      </c>
      <c r="T22" s="66">
        <v>2017</v>
      </c>
      <c r="U22" s="66">
        <v>2017</v>
      </c>
      <c r="V22" s="67" t="s">
        <v>145</v>
      </c>
      <c r="W22" s="66">
        <v>4</v>
      </c>
      <c r="X22" s="67" t="s">
        <v>156</v>
      </c>
      <c r="Y22" s="67" t="s">
        <v>201</v>
      </c>
    </row>
    <row r="23" spans="1:25" s="24" customFormat="1" ht="15.75" customHeight="1">
      <c r="A23" s="230">
        <f t="shared" si="1"/>
        <v>7</v>
      </c>
      <c r="B23" s="123" t="s">
        <v>142</v>
      </c>
      <c r="C23" s="111">
        <v>1961</v>
      </c>
      <c r="D23" s="196"/>
      <c r="E23" s="212"/>
      <c r="F23" s="33">
        <v>2120.4</v>
      </c>
      <c r="G23" s="33">
        <v>1978.8</v>
      </c>
      <c r="H23" s="56">
        <f>I23+J23+K23+L23+M23+N23+O23</f>
        <v>6535046.3599999994</v>
      </c>
      <c r="I23" s="49">
        <f>ROUND(332.83*G23,2)-16915.17</f>
        <v>641688.82999999996</v>
      </c>
      <c r="J23" s="49">
        <v>0</v>
      </c>
      <c r="K23" s="49">
        <f>ROUND(1824.94*G23,2)-92747.57</f>
        <v>3518443.7</v>
      </c>
      <c r="L23" s="49">
        <v>0</v>
      </c>
      <c r="M23" s="49">
        <f>ROUND(1144.76*G23,2)-58179.28</f>
        <v>2207071.81</v>
      </c>
      <c r="N23" s="49">
        <v>0</v>
      </c>
      <c r="O23" s="189">
        <v>167842.02</v>
      </c>
      <c r="P23" s="49">
        <v>0</v>
      </c>
      <c r="Q23" s="49">
        <v>0</v>
      </c>
      <c r="R23" s="49">
        <v>0</v>
      </c>
      <c r="S23" s="94">
        <f>H23</f>
        <v>6535046.3599999994</v>
      </c>
      <c r="T23" s="66">
        <v>2017</v>
      </c>
      <c r="U23" s="66">
        <v>2017</v>
      </c>
      <c r="V23" s="67" t="s">
        <v>145</v>
      </c>
      <c r="W23" s="66">
        <v>4</v>
      </c>
      <c r="X23" s="67" t="s">
        <v>156</v>
      </c>
      <c r="Y23" s="67" t="s">
        <v>201</v>
      </c>
    </row>
    <row r="24" spans="1:25" s="24" customFormat="1" ht="15.75" customHeight="1">
      <c r="A24" s="230">
        <f t="shared" si="1"/>
        <v>8</v>
      </c>
      <c r="B24" s="123" t="s">
        <v>196</v>
      </c>
      <c r="C24" s="111">
        <v>1970</v>
      </c>
      <c r="D24" s="196"/>
      <c r="E24" s="212"/>
      <c r="F24" s="33">
        <v>6283.7</v>
      </c>
      <c r="G24" s="33">
        <v>5717.8</v>
      </c>
      <c r="H24" s="56">
        <f>I24+J24+K24+L24+M24+N24+O24</f>
        <v>9788987.9500000011</v>
      </c>
      <c r="I24" s="49">
        <f>ROUND(332.83*G24,2)-72056.29</f>
        <v>1830999.08</v>
      </c>
      <c r="J24" s="49">
        <v>0</v>
      </c>
      <c r="K24" s="49">
        <f>ROUND(1072.45*G24,2)-232180.88</f>
        <v>5899873.7300000004</v>
      </c>
      <c r="L24" s="49">
        <v>0</v>
      </c>
      <c r="M24" s="49">
        <f>ROUND(306.74*G24,2)-66407.91</f>
        <v>1687470.06</v>
      </c>
      <c r="N24" s="49">
        <v>0</v>
      </c>
      <c r="O24" s="189">
        <v>370645.08</v>
      </c>
      <c r="P24" s="49">
        <v>0</v>
      </c>
      <c r="Q24" s="49">
        <v>0</v>
      </c>
      <c r="R24" s="49">
        <v>0</v>
      </c>
      <c r="S24" s="94">
        <f>H24</f>
        <v>9788987.9500000011</v>
      </c>
      <c r="T24" s="66">
        <v>2017</v>
      </c>
      <c r="U24" s="66">
        <v>2017</v>
      </c>
      <c r="V24" s="67" t="s">
        <v>144</v>
      </c>
      <c r="W24" s="66">
        <v>5</v>
      </c>
      <c r="X24" s="67" t="s">
        <v>155</v>
      </c>
      <c r="Y24" s="67" t="s">
        <v>201</v>
      </c>
    </row>
    <row r="25" spans="1:25" s="24" customFormat="1" ht="15.75" customHeight="1">
      <c r="A25" s="230">
        <f t="shared" si="1"/>
        <v>9</v>
      </c>
      <c r="B25" s="123" t="s">
        <v>200</v>
      </c>
      <c r="C25" s="111">
        <v>1992</v>
      </c>
      <c r="D25" s="196"/>
      <c r="E25" s="212"/>
      <c r="F25" s="33">
        <v>3757.1</v>
      </c>
      <c r="G25" s="33">
        <v>3296.1</v>
      </c>
      <c r="H25" s="56">
        <f>I25+J25+K25+L25+M25+N25+O25</f>
        <v>7632762.8200000012</v>
      </c>
      <c r="I25" s="49">
        <f>ROUND(690.32*G25,2)-51670.28</f>
        <v>2223693.4700000002</v>
      </c>
      <c r="J25" s="49">
        <v>3037801.66</v>
      </c>
      <c r="K25" s="49">
        <f>ROUND(703.74*G25,2)-52674.76</f>
        <v>2266922.6500000004</v>
      </c>
      <c r="L25" s="49">
        <v>0</v>
      </c>
      <c r="M25" s="49">
        <v>0</v>
      </c>
      <c r="N25" s="49">
        <v>0</v>
      </c>
      <c r="O25" s="189">
        <v>104345.04</v>
      </c>
      <c r="P25" s="49">
        <v>0</v>
      </c>
      <c r="Q25" s="49">
        <v>0</v>
      </c>
      <c r="R25" s="49">
        <v>0</v>
      </c>
      <c r="S25" s="94">
        <f>H25</f>
        <v>7632762.8200000012</v>
      </c>
      <c r="T25" s="66">
        <v>2017</v>
      </c>
      <c r="U25" s="66">
        <v>2017</v>
      </c>
      <c r="V25" s="67" t="s">
        <v>144</v>
      </c>
      <c r="W25" s="66">
        <v>9</v>
      </c>
      <c r="X25" s="67" t="s">
        <v>155</v>
      </c>
      <c r="Y25" s="67" t="s">
        <v>202</v>
      </c>
    </row>
    <row r="26" spans="1:25" s="24" customFormat="1" ht="15.75" customHeight="1">
      <c r="A26" s="230">
        <f t="shared" si="1"/>
        <v>10</v>
      </c>
      <c r="B26" s="123" t="s">
        <v>197</v>
      </c>
      <c r="C26" s="111">
        <v>1969</v>
      </c>
      <c r="D26" s="196"/>
      <c r="E26" s="212"/>
      <c r="F26" s="33">
        <v>4740.3999999999996</v>
      </c>
      <c r="G26" s="33">
        <v>4336</v>
      </c>
      <c r="H26" s="56">
        <f>I26+J26+K26+L26+M26+N26+O26</f>
        <v>7423318.7199999988</v>
      </c>
      <c r="I26" s="49">
        <f>ROUND(332.83*G26,2)-55460.95</f>
        <v>1387689.93</v>
      </c>
      <c r="J26" s="49">
        <v>0</v>
      </c>
      <c r="K26" s="49">
        <f>ROUND(1072.45*G26,2)-178707.12</f>
        <v>4471436.08</v>
      </c>
      <c r="L26" s="49">
        <v>0</v>
      </c>
      <c r="M26" s="49">
        <f>ROUND(306.74*G26,2)-51113.45</f>
        <v>1278911.19</v>
      </c>
      <c r="N26" s="49">
        <v>0</v>
      </c>
      <c r="O26" s="189">
        <v>285281.52</v>
      </c>
      <c r="P26" s="49">
        <v>0</v>
      </c>
      <c r="Q26" s="49">
        <v>0</v>
      </c>
      <c r="R26" s="49">
        <v>0</v>
      </c>
      <c r="S26" s="94">
        <f>H26</f>
        <v>7423318.7199999988</v>
      </c>
      <c r="T26" s="66">
        <v>2017</v>
      </c>
      <c r="U26" s="66">
        <v>2017</v>
      </c>
      <c r="V26" s="67" t="s">
        <v>144</v>
      </c>
      <c r="W26" s="66">
        <v>5</v>
      </c>
      <c r="X26" s="25" t="s">
        <v>155</v>
      </c>
      <c r="Y26" s="25" t="s">
        <v>201</v>
      </c>
    </row>
    <row r="27" spans="1:25" s="24" customFormat="1" ht="15.75" customHeight="1">
      <c r="A27" s="230">
        <f t="shared" si="1"/>
        <v>11</v>
      </c>
      <c r="B27" s="123" t="s">
        <v>143</v>
      </c>
      <c r="C27" s="212">
        <v>1962</v>
      </c>
      <c r="D27" s="212"/>
      <c r="E27" s="212"/>
      <c r="F27" s="237">
        <v>3331.6</v>
      </c>
      <c r="G27" s="237">
        <v>3066.2</v>
      </c>
      <c r="H27" s="56">
        <f>I27+J27+K27+L27+M27+N27+O27</f>
        <v>7768953.5899999989</v>
      </c>
      <c r="I27" s="49">
        <f>ROUND(332.83*G27,2)-33499.89</f>
        <v>987023.46</v>
      </c>
      <c r="J27" s="49">
        <v>0</v>
      </c>
      <c r="K27" s="49">
        <f>ROUND(1056.15*G27,2)-106303.25</f>
        <v>3132063.88</v>
      </c>
      <c r="L27" s="49">
        <v>0</v>
      </c>
      <c r="M27" s="49">
        <f>ROUND(1144.76*G27,2)-115222</f>
        <v>3394841.11</v>
      </c>
      <c r="N27" s="49">
        <v>0</v>
      </c>
      <c r="O27" s="189">
        <v>255025.14</v>
      </c>
      <c r="P27" s="49">
        <v>0</v>
      </c>
      <c r="Q27" s="49">
        <v>0</v>
      </c>
      <c r="R27" s="49">
        <v>0</v>
      </c>
      <c r="S27" s="94">
        <f>H27</f>
        <v>7768953.5899999989</v>
      </c>
      <c r="T27" s="66">
        <v>2017</v>
      </c>
      <c r="U27" s="66">
        <v>2017</v>
      </c>
      <c r="V27" s="67" t="s">
        <v>145</v>
      </c>
      <c r="W27" s="66">
        <v>5</v>
      </c>
      <c r="X27" s="238" t="s">
        <v>155</v>
      </c>
      <c r="Y27" s="238" t="s">
        <v>201</v>
      </c>
    </row>
    <row r="28" spans="1:25" s="24" customFormat="1" ht="15.75" customHeight="1">
      <c r="A28" s="230">
        <f t="shared" si="1"/>
        <v>12</v>
      </c>
      <c r="B28" s="123" t="s">
        <v>198</v>
      </c>
      <c r="C28" s="111">
        <v>1989</v>
      </c>
      <c r="D28" s="196"/>
      <c r="E28" s="212"/>
      <c r="F28" s="59">
        <v>4434.2299999999996</v>
      </c>
      <c r="G28" s="33">
        <v>3707.3</v>
      </c>
      <c r="H28" s="56">
        <f>I28+J28+K28+L28+M28+N28+O28</f>
        <v>8206000.2999999998</v>
      </c>
      <c r="I28" s="49">
        <f>ROUND(690.32*G28,2)-42287.85</f>
        <v>2516935.4899999998</v>
      </c>
      <c r="J28" s="49">
        <v>3037801.66</v>
      </c>
      <c r="K28" s="49">
        <f>ROUND(703.74*G28,2)-43109.93</f>
        <v>2565865.3699999996</v>
      </c>
      <c r="L28" s="49">
        <v>0</v>
      </c>
      <c r="M28" s="49">
        <v>0</v>
      </c>
      <c r="N28" s="49">
        <v>0</v>
      </c>
      <c r="O28" s="189">
        <v>85397.78</v>
      </c>
      <c r="P28" s="49">
        <v>0</v>
      </c>
      <c r="Q28" s="49">
        <v>0</v>
      </c>
      <c r="R28" s="49">
        <v>0</v>
      </c>
      <c r="S28" s="94">
        <f>H28</f>
        <v>8206000.2999999998</v>
      </c>
      <c r="T28" s="66">
        <v>2017</v>
      </c>
      <c r="U28" s="66">
        <v>2017</v>
      </c>
      <c r="V28" s="67" t="s">
        <v>144</v>
      </c>
      <c r="W28" s="66">
        <v>9</v>
      </c>
      <c r="X28" s="67" t="s">
        <v>155</v>
      </c>
      <c r="Y28" s="67" t="s">
        <v>202</v>
      </c>
    </row>
    <row r="29" spans="1:25" ht="15.75">
      <c r="A29" s="327" t="s">
        <v>263</v>
      </c>
      <c r="B29" s="333"/>
      <c r="C29" s="232"/>
      <c r="D29" s="232"/>
      <c r="E29" s="212"/>
      <c r="F29" s="112">
        <f t="shared" ref="F29:O29" si="2">SUM(F17:F28)</f>
        <v>45371.03</v>
      </c>
      <c r="G29" s="112">
        <f t="shared" si="2"/>
        <v>40572.299999999996</v>
      </c>
      <c r="H29" s="26">
        <f t="shared" si="2"/>
        <v>89832436.829999998</v>
      </c>
      <c r="I29" s="27">
        <f t="shared" si="2"/>
        <v>16018650.470000001</v>
      </c>
      <c r="J29" s="27">
        <f t="shared" si="2"/>
        <v>11786683.620000001</v>
      </c>
      <c r="K29" s="27">
        <f t="shared" si="2"/>
        <v>40957943</v>
      </c>
      <c r="L29" s="27">
        <f t="shared" si="2"/>
        <v>0</v>
      </c>
      <c r="M29" s="27">
        <f t="shared" si="2"/>
        <v>18769372.780000001</v>
      </c>
      <c r="N29" s="27">
        <f t="shared" si="2"/>
        <v>0</v>
      </c>
      <c r="O29" s="27">
        <f t="shared" si="2"/>
        <v>2299786.96</v>
      </c>
      <c r="P29" s="27">
        <f>SUM(P17:P28)</f>
        <v>0</v>
      </c>
      <c r="Q29" s="27">
        <f>SUM(Q17:Q28)</f>
        <v>0</v>
      </c>
      <c r="R29" s="27">
        <f>SUM(R17:R28)</f>
        <v>0</v>
      </c>
      <c r="S29" s="93">
        <f>SUM(S17:S28)</f>
        <v>89832436.829999998</v>
      </c>
      <c r="T29" s="22" t="s">
        <v>113</v>
      </c>
      <c r="U29" s="22" t="s">
        <v>113</v>
      </c>
    </row>
    <row r="30" spans="1:25" ht="15.75">
      <c r="A30" s="329" t="s">
        <v>29</v>
      </c>
      <c r="B30" s="330"/>
      <c r="C30" s="353"/>
      <c r="D30" s="354"/>
      <c r="E30" s="354"/>
      <c r="F30" s="353"/>
      <c r="G30" s="353"/>
      <c r="H30" s="353"/>
      <c r="I30" s="353"/>
      <c r="J30" s="353"/>
      <c r="K30" s="353"/>
      <c r="L30" s="353"/>
      <c r="M30" s="353"/>
      <c r="N30" s="353"/>
      <c r="O30" s="353"/>
      <c r="P30" s="353"/>
      <c r="Q30" s="353"/>
      <c r="R30" s="353"/>
      <c r="S30" s="355"/>
      <c r="T30" s="28"/>
      <c r="U30" s="29"/>
    </row>
    <row r="31" spans="1:25" s="24" customFormat="1" ht="15.75" customHeight="1">
      <c r="A31" s="47">
        <f>A28+1</f>
        <v>13</v>
      </c>
      <c r="B31" s="205" t="s">
        <v>151</v>
      </c>
      <c r="C31" s="147">
        <v>1954</v>
      </c>
      <c r="D31" s="239"/>
      <c r="E31" s="377"/>
      <c r="F31" s="118">
        <v>2444.6</v>
      </c>
      <c r="G31" s="118">
        <v>2070.1</v>
      </c>
      <c r="H31" s="50">
        <f>I31+J31+K31+L31+M31+N31+O31</f>
        <v>3777808.29</v>
      </c>
      <c r="I31" s="49">
        <v>0</v>
      </c>
      <c r="J31" s="49">
        <v>0</v>
      </c>
      <c r="K31" s="49">
        <f>ROUND(1824.94*G31,2)-O31</f>
        <v>3693376.93</v>
      </c>
      <c r="L31" s="49">
        <v>0</v>
      </c>
      <c r="M31" s="49">
        <v>0</v>
      </c>
      <c r="N31" s="49">
        <v>0</v>
      </c>
      <c r="O31" s="189">
        <v>84431.360000000001</v>
      </c>
      <c r="P31" s="49">
        <v>0</v>
      </c>
      <c r="Q31" s="49">
        <v>0</v>
      </c>
      <c r="R31" s="49">
        <v>0</v>
      </c>
      <c r="S31" s="60">
        <f>H31</f>
        <v>3777808.29</v>
      </c>
      <c r="T31" s="66">
        <v>2017</v>
      </c>
      <c r="U31" s="66">
        <v>2017</v>
      </c>
      <c r="V31" s="148" t="s">
        <v>145</v>
      </c>
      <c r="W31" s="147">
        <v>4</v>
      </c>
    </row>
    <row r="32" spans="1:25" s="24" customFormat="1" ht="15.75" customHeight="1">
      <c r="A32" s="47">
        <f>A31+1</f>
        <v>14</v>
      </c>
      <c r="B32" s="205" t="s">
        <v>149</v>
      </c>
      <c r="C32" s="147">
        <v>1961</v>
      </c>
      <c r="D32" s="241"/>
      <c r="E32" s="212"/>
      <c r="F32" s="116">
        <v>1700.8</v>
      </c>
      <c r="G32" s="116">
        <v>1577</v>
      </c>
      <c r="H32" s="50">
        <f>I32+J32+K32+L32+M32+N32+O32</f>
        <v>1665548.55</v>
      </c>
      <c r="I32" s="49">
        <v>0</v>
      </c>
      <c r="J32" s="49">
        <v>0</v>
      </c>
      <c r="K32" s="49">
        <f>ROUND(1056.15*G32,2)-O32</f>
        <v>1607294.31</v>
      </c>
      <c r="L32" s="49">
        <v>0</v>
      </c>
      <c r="M32" s="49"/>
      <c r="N32" s="49">
        <v>0</v>
      </c>
      <c r="O32" s="189">
        <v>58254.239999999998</v>
      </c>
      <c r="P32" s="49">
        <v>0</v>
      </c>
      <c r="Q32" s="49">
        <v>0</v>
      </c>
      <c r="R32" s="49">
        <v>0</v>
      </c>
      <c r="S32" s="60">
        <f>H32</f>
        <v>1665548.55</v>
      </c>
      <c r="T32" s="66">
        <v>2017</v>
      </c>
      <c r="U32" s="66">
        <v>2017</v>
      </c>
      <c r="V32" s="148" t="s">
        <v>145</v>
      </c>
      <c r="W32" s="147">
        <v>5</v>
      </c>
    </row>
    <row r="33" spans="1:23" s="24" customFormat="1" ht="15.75" customHeight="1">
      <c r="A33" s="47">
        <f t="shared" ref="A33:A37" si="3">A32+1</f>
        <v>15</v>
      </c>
      <c r="B33" s="205" t="s">
        <v>61</v>
      </c>
      <c r="C33" s="147">
        <v>1949</v>
      </c>
      <c r="D33" s="242"/>
      <c r="E33" s="243"/>
      <c r="F33" s="378">
        <v>7532.3</v>
      </c>
      <c r="G33" s="378">
        <v>5486.8</v>
      </c>
      <c r="H33" s="50">
        <f>I33+J33+K33+L33+M33+N33+O33</f>
        <v>10013080.789999999</v>
      </c>
      <c r="I33" s="49">
        <v>0</v>
      </c>
      <c r="J33" s="49">
        <v>0</v>
      </c>
      <c r="K33" s="49">
        <f>ROUND(1824.94*G33,2)-O33</f>
        <v>9785986.25</v>
      </c>
      <c r="L33" s="49">
        <v>0</v>
      </c>
      <c r="M33" s="49"/>
      <c r="N33" s="49">
        <v>0</v>
      </c>
      <c r="O33" s="189">
        <v>227094.54</v>
      </c>
      <c r="P33" s="49">
        <v>0</v>
      </c>
      <c r="Q33" s="49">
        <v>0</v>
      </c>
      <c r="R33" s="49">
        <v>0</v>
      </c>
      <c r="S33" s="60">
        <f>H33</f>
        <v>10013080.789999999</v>
      </c>
      <c r="T33" s="66">
        <v>2017</v>
      </c>
      <c r="U33" s="66">
        <v>2017</v>
      </c>
      <c r="V33" s="148" t="s">
        <v>145</v>
      </c>
      <c r="W33" s="147">
        <v>5</v>
      </c>
    </row>
    <row r="34" spans="1:23" s="24" customFormat="1" ht="15.75" customHeight="1">
      <c r="A34" s="47">
        <f t="shared" si="3"/>
        <v>16</v>
      </c>
      <c r="B34" s="205" t="s">
        <v>148</v>
      </c>
      <c r="C34" s="147">
        <v>1959</v>
      </c>
      <c r="D34" s="242"/>
      <c r="E34" s="310"/>
      <c r="F34" s="117">
        <v>3434.8</v>
      </c>
      <c r="G34" s="117">
        <v>2659.6</v>
      </c>
      <c r="H34" s="50">
        <f>I34+J34+K34+L34+M34+N34+O34</f>
        <v>2808936.54</v>
      </c>
      <c r="I34" s="49">
        <v>0</v>
      </c>
      <c r="J34" s="49">
        <v>0</v>
      </c>
      <c r="K34" s="49">
        <f>ROUND(1056.15*G34,2)-O34</f>
        <v>2705261.74</v>
      </c>
      <c r="L34" s="49">
        <v>0</v>
      </c>
      <c r="M34" s="49">
        <v>0</v>
      </c>
      <c r="N34" s="49">
        <v>0</v>
      </c>
      <c r="O34" s="189">
        <v>103674.8</v>
      </c>
      <c r="P34" s="49">
        <v>0</v>
      </c>
      <c r="Q34" s="49">
        <v>0</v>
      </c>
      <c r="R34" s="49">
        <v>0</v>
      </c>
      <c r="S34" s="60">
        <f>H34</f>
        <v>2808936.54</v>
      </c>
      <c r="T34" s="66">
        <v>2017</v>
      </c>
      <c r="U34" s="66">
        <v>2017</v>
      </c>
      <c r="V34" s="240" t="s">
        <v>147</v>
      </c>
      <c r="W34" s="147">
        <v>4</v>
      </c>
    </row>
    <row r="35" spans="1:23" s="24" customFormat="1" ht="15.75" customHeight="1">
      <c r="A35" s="47">
        <f t="shared" si="3"/>
        <v>17</v>
      </c>
      <c r="B35" s="205" t="s">
        <v>150</v>
      </c>
      <c r="C35" s="147">
        <v>1965</v>
      </c>
      <c r="D35" s="242"/>
      <c r="E35" s="243"/>
      <c r="F35" s="244">
        <v>1867.7</v>
      </c>
      <c r="G35" s="244">
        <v>1536.8</v>
      </c>
      <c r="H35" s="50">
        <f>I35+J35+K35+L35+M35+N35+O35</f>
        <v>2804567.79</v>
      </c>
      <c r="I35" s="49">
        <v>0</v>
      </c>
      <c r="J35" s="49">
        <v>0</v>
      </c>
      <c r="K35" s="49">
        <f>ROUND(1824.94*G35,2)-O35</f>
        <v>2733662.77</v>
      </c>
      <c r="L35" s="49">
        <v>0</v>
      </c>
      <c r="M35" s="49"/>
      <c r="N35" s="49">
        <v>0</v>
      </c>
      <c r="O35" s="189">
        <v>70905.02</v>
      </c>
      <c r="P35" s="49">
        <v>0</v>
      </c>
      <c r="Q35" s="49">
        <v>0</v>
      </c>
      <c r="R35" s="49">
        <v>0</v>
      </c>
      <c r="S35" s="60">
        <f>H35</f>
        <v>2804567.79</v>
      </c>
      <c r="T35" s="66">
        <v>2017</v>
      </c>
      <c r="U35" s="66">
        <v>2017</v>
      </c>
      <c r="V35" s="148" t="s">
        <v>145</v>
      </c>
      <c r="W35" s="147">
        <v>4</v>
      </c>
    </row>
    <row r="36" spans="1:23" s="24" customFormat="1" ht="15.75" customHeight="1">
      <c r="A36" s="47">
        <f t="shared" si="3"/>
        <v>18</v>
      </c>
      <c r="B36" s="205" t="s">
        <v>152</v>
      </c>
      <c r="C36" s="147">
        <v>1987</v>
      </c>
      <c r="D36" s="245"/>
      <c r="E36" s="246" t="s">
        <v>498</v>
      </c>
      <c r="F36" s="379">
        <v>2291.6999999999998</v>
      </c>
      <c r="G36" s="379">
        <v>1921.5</v>
      </c>
      <c r="H36" s="50">
        <f>I36+J36+K36+L36+M36+N36+O36</f>
        <v>2855540.15</v>
      </c>
      <c r="I36" s="49">
        <v>0</v>
      </c>
      <c r="J36" s="49">
        <v>2855540.15</v>
      </c>
      <c r="K36" s="49">
        <v>0</v>
      </c>
      <c r="L36" s="49">
        <v>0</v>
      </c>
      <c r="M36" s="49">
        <v>0</v>
      </c>
      <c r="N36" s="49">
        <v>0</v>
      </c>
      <c r="O36" s="189">
        <v>0</v>
      </c>
      <c r="P36" s="49">
        <v>0</v>
      </c>
      <c r="Q36" s="49">
        <v>0</v>
      </c>
      <c r="R36" s="49">
        <v>0</v>
      </c>
      <c r="S36" s="60">
        <f>H36</f>
        <v>2855540.15</v>
      </c>
      <c r="T36" s="66">
        <v>2017</v>
      </c>
      <c r="U36" s="66">
        <v>2017</v>
      </c>
      <c r="V36" s="148" t="s">
        <v>145</v>
      </c>
      <c r="W36" s="147">
        <v>9</v>
      </c>
    </row>
    <row r="37" spans="1:23" s="24" customFormat="1" ht="15.75" customHeight="1">
      <c r="A37" s="47">
        <f t="shared" si="3"/>
        <v>19</v>
      </c>
      <c r="B37" s="205" t="s">
        <v>41</v>
      </c>
      <c r="C37" s="147">
        <v>1963</v>
      </c>
      <c r="D37" s="242"/>
      <c r="E37" s="243"/>
      <c r="F37" s="244">
        <v>3178.4</v>
      </c>
      <c r="G37" s="244">
        <v>2998.4</v>
      </c>
      <c r="H37" s="50">
        <f>I37+J37+K37+L37+M37+N37+O37</f>
        <v>2069495.68</v>
      </c>
      <c r="I37" s="49">
        <f>ROUND(690.2*G37,2)-O37</f>
        <v>2036043.8599999999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33451.82</v>
      </c>
      <c r="P37" s="49">
        <v>0</v>
      </c>
      <c r="Q37" s="49">
        <v>0</v>
      </c>
      <c r="R37" s="49">
        <v>0</v>
      </c>
      <c r="S37" s="60">
        <f>H37</f>
        <v>2069495.68</v>
      </c>
      <c r="T37" s="66">
        <v>2017</v>
      </c>
      <c r="U37" s="66">
        <v>2017</v>
      </c>
      <c r="V37" s="148" t="s">
        <v>145</v>
      </c>
      <c r="W37" s="147">
        <v>5</v>
      </c>
    </row>
    <row r="38" spans="1:23" ht="15.75">
      <c r="A38" s="327" t="s">
        <v>263</v>
      </c>
      <c r="B38" s="333"/>
      <c r="C38" s="80"/>
      <c r="D38" s="219"/>
      <c r="E38" s="219"/>
      <c r="F38" s="95">
        <f t="shared" ref="F38:O38" si="4">SUM(F31:F37)</f>
        <v>22450.300000000003</v>
      </c>
      <c r="G38" s="95">
        <f t="shared" si="4"/>
        <v>18250.2</v>
      </c>
      <c r="H38" s="81">
        <f t="shared" si="4"/>
        <v>25994977.789999995</v>
      </c>
      <c r="I38" s="72">
        <f t="shared" si="4"/>
        <v>2036043.8599999999</v>
      </c>
      <c r="J38" s="72">
        <f t="shared" si="4"/>
        <v>2855540.15</v>
      </c>
      <c r="K38" s="72">
        <f t="shared" si="4"/>
        <v>20525582</v>
      </c>
      <c r="L38" s="72">
        <f t="shared" si="4"/>
        <v>0</v>
      </c>
      <c r="M38" s="72">
        <f t="shared" si="4"/>
        <v>0</v>
      </c>
      <c r="N38" s="72">
        <f t="shared" si="4"/>
        <v>0</v>
      </c>
      <c r="O38" s="72">
        <f t="shared" si="4"/>
        <v>577811.77999999991</v>
      </c>
      <c r="P38" s="72">
        <f>SUM(P31:P37)</f>
        <v>0</v>
      </c>
      <c r="Q38" s="72">
        <f>SUM(Q31:Q37)</f>
        <v>0</v>
      </c>
      <c r="R38" s="72">
        <f>SUM(R31:R37)</f>
        <v>0</v>
      </c>
      <c r="S38" s="95">
        <f>SUM(S31:S37)</f>
        <v>25994977.789999995</v>
      </c>
      <c r="T38" s="22" t="s">
        <v>113</v>
      </c>
      <c r="U38" s="22" t="s">
        <v>113</v>
      </c>
    </row>
    <row r="39" spans="1:23" ht="15.75">
      <c r="A39" s="329" t="s">
        <v>131</v>
      </c>
      <c r="B39" s="330"/>
      <c r="C39" s="330"/>
      <c r="D39" s="330"/>
      <c r="E39" s="331"/>
      <c r="F39" s="330"/>
      <c r="G39" s="330"/>
      <c r="H39" s="330"/>
      <c r="I39" s="330"/>
      <c r="J39" s="330"/>
      <c r="K39" s="330"/>
      <c r="L39" s="330"/>
      <c r="M39" s="330"/>
      <c r="N39" s="330"/>
      <c r="O39" s="330"/>
      <c r="P39" s="330"/>
      <c r="Q39" s="330"/>
      <c r="R39" s="330"/>
      <c r="S39" s="332"/>
      <c r="T39" s="36"/>
      <c r="U39" s="36"/>
    </row>
    <row r="40" spans="1:23" ht="15.75" customHeight="1">
      <c r="A40" s="47">
        <f>A37+1</f>
        <v>20</v>
      </c>
      <c r="B40" s="48" t="s">
        <v>135</v>
      </c>
      <c r="C40" s="47" t="s">
        <v>62</v>
      </c>
      <c r="D40" s="47"/>
      <c r="E40" s="195"/>
      <c r="F40" s="62">
        <v>1267</v>
      </c>
      <c r="G40" s="62">
        <v>1232.5</v>
      </c>
      <c r="H40" s="50">
        <f>I40+J40+K40+L40+M40+N40+O40</f>
        <v>1410916.7</v>
      </c>
      <c r="I40" s="49">
        <v>0</v>
      </c>
      <c r="J40" s="49">
        <v>0</v>
      </c>
      <c r="K40" s="49">
        <v>0</v>
      </c>
      <c r="L40" s="49">
        <v>0</v>
      </c>
      <c r="M40" s="49">
        <f>ROUND(1144.76*G40,2)-O40</f>
        <v>1326261.7</v>
      </c>
      <c r="N40" s="49">
        <v>0</v>
      </c>
      <c r="O40" s="49">
        <v>84655</v>
      </c>
      <c r="P40" s="49">
        <v>0</v>
      </c>
      <c r="Q40" s="49">
        <v>0</v>
      </c>
      <c r="R40" s="49">
        <v>0</v>
      </c>
      <c r="S40" s="94">
        <f>H40</f>
        <v>1410916.7</v>
      </c>
      <c r="T40" s="66">
        <v>2017</v>
      </c>
      <c r="U40" s="66">
        <v>2017</v>
      </c>
      <c r="V40" s="148" t="s">
        <v>145</v>
      </c>
      <c r="W40" s="147">
        <v>4</v>
      </c>
    </row>
    <row r="41" spans="1:23" ht="15.75" customHeight="1">
      <c r="A41" s="47">
        <f>A40+1</f>
        <v>21</v>
      </c>
      <c r="B41" s="48" t="s">
        <v>134</v>
      </c>
      <c r="C41" s="37">
        <v>1963</v>
      </c>
      <c r="D41" s="37"/>
      <c r="E41" s="214"/>
      <c r="F41" s="65">
        <v>2711.4</v>
      </c>
      <c r="G41" s="62">
        <v>2513.6</v>
      </c>
      <c r="H41" s="50">
        <f>I41+J41+K41+L41+M41+N41+O41</f>
        <v>4587169.18</v>
      </c>
      <c r="I41" s="49">
        <v>0</v>
      </c>
      <c r="J41" s="49">
        <v>0</v>
      </c>
      <c r="K41" s="49">
        <f>ROUND(1824.94*G41,2)-O41</f>
        <v>4498173.58</v>
      </c>
      <c r="L41" s="49">
        <v>0</v>
      </c>
      <c r="M41" s="49">
        <v>0</v>
      </c>
      <c r="N41" s="49">
        <v>0</v>
      </c>
      <c r="O41" s="49">
        <v>88995.6</v>
      </c>
      <c r="P41" s="49">
        <v>0</v>
      </c>
      <c r="Q41" s="49">
        <v>0</v>
      </c>
      <c r="R41" s="49">
        <v>0</v>
      </c>
      <c r="S41" s="94">
        <f>H41</f>
        <v>4587169.18</v>
      </c>
      <c r="T41" s="66">
        <v>2017</v>
      </c>
      <c r="U41" s="66">
        <v>2017</v>
      </c>
      <c r="V41" s="148" t="s">
        <v>145</v>
      </c>
      <c r="W41" s="147">
        <v>4</v>
      </c>
    </row>
    <row r="42" spans="1:23" ht="15.75" customHeight="1">
      <c r="A42" s="47">
        <f>A41+1</f>
        <v>22</v>
      </c>
      <c r="B42" s="48" t="s">
        <v>132</v>
      </c>
      <c r="C42" s="47" t="s">
        <v>53</v>
      </c>
      <c r="D42" s="47"/>
      <c r="E42" s="195"/>
      <c r="F42" s="65">
        <v>422.5</v>
      </c>
      <c r="G42" s="62">
        <v>380.7</v>
      </c>
      <c r="H42" s="50">
        <f>I42+J42+K42+L42+M42+N42+O42</f>
        <v>512715.34</v>
      </c>
      <c r="I42" s="49">
        <v>0</v>
      </c>
      <c r="J42" s="49">
        <v>0</v>
      </c>
      <c r="K42" s="49">
        <v>0</v>
      </c>
      <c r="L42" s="49">
        <v>0</v>
      </c>
      <c r="M42" s="49">
        <f>ROUND(1346.77*G42,2)-O42</f>
        <v>481952.42000000004</v>
      </c>
      <c r="N42" s="49">
        <v>0</v>
      </c>
      <c r="O42" s="49">
        <v>30762.92</v>
      </c>
      <c r="P42" s="49">
        <v>0</v>
      </c>
      <c r="Q42" s="49">
        <v>0</v>
      </c>
      <c r="R42" s="49">
        <v>0</v>
      </c>
      <c r="S42" s="94">
        <f>H42</f>
        <v>512715.34</v>
      </c>
      <c r="T42" s="66">
        <v>2017</v>
      </c>
      <c r="U42" s="66">
        <v>2017</v>
      </c>
      <c r="V42" s="148" t="s">
        <v>145</v>
      </c>
      <c r="W42" s="147">
        <v>2</v>
      </c>
    </row>
    <row r="43" spans="1:23" ht="15.75" customHeight="1">
      <c r="A43" s="47">
        <f>A42+1</f>
        <v>23</v>
      </c>
      <c r="B43" s="48" t="s">
        <v>133</v>
      </c>
      <c r="C43" s="37">
        <v>1958</v>
      </c>
      <c r="D43" s="37"/>
      <c r="E43" s="214"/>
      <c r="F43" s="62">
        <v>1312.9</v>
      </c>
      <c r="G43" s="62">
        <v>1298.3</v>
      </c>
      <c r="H43" s="50">
        <f>I43+J43+K43+L43+M43+N43+O43</f>
        <v>1486241.91</v>
      </c>
      <c r="I43" s="49">
        <v>0</v>
      </c>
      <c r="J43" s="49">
        <v>0</v>
      </c>
      <c r="K43" s="49">
        <v>0</v>
      </c>
      <c r="L43" s="49">
        <v>0</v>
      </c>
      <c r="M43" s="49">
        <f>ROUND(1144.76*G43,2)-O43</f>
        <v>1397338.3499999999</v>
      </c>
      <c r="N43" s="49">
        <v>0</v>
      </c>
      <c r="O43" s="49">
        <v>88903.56</v>
      </c>
      <c r="P43" s="49">
        <v>0</v>
      </c>
      <c r="Q43" s="49">
        <v>0</v>
      </c>
      <c r="R43" s="49">
        <v>0</v>
      </c>
      <c r="S43" s="94">
        <f>H43</f>
        <v>1486241.91</v>
      </c>
      <c r="T43" s="66">
        <v>2017</v>
      </c>
      <c r="U43" s="66">
        <v>2017</v>
      </c>
      <c r="V43" s="148" t="s">
        <v>145</v>
      </c>
      <c r="W43" s="147">
        <v>3</v>
      </c>
    </row>
    <row r="44" spans="1:23" ht="15.75" customHeight="1">
      <c r="A44" s="47">
        <f>A43+1</f>
        <v>24</v>
      </c>
      <c r="B44" s="48" t="s">
        <v>136</v>
      </c>
      <c r="C44" s="47" t="s">
        <v>19</v>
      </c>
      <c r="D44" s="47"/>
      <c r="E44" s="195"/>
      <c r="F44" s="65">
        <v>1568</v>
      </c>
      <c r="G44" s="62">
        <v>1344.4</v>
      </c>
      <c r="H44" s="50">
        <f>I44+J44+K44+L44+M44+N44+O44</f>
        <v>1539015.34</v>
      </c>
      <c r="I44" s="49">
        <v>0</v>
      </c>
      <c r="J44" s="49">
        <v>0</v>
      </c>
      <c r="K44" s="49">
        <v>0</v>
      </c>
      <c r="L44" s="49">
        <v>0</v>
      </c>
      <c r="M44" s="49">
        <f>ROUND(1144.76*G44,2)-O44</f>
        <v>1446674.4200000002</v>
      </c>
      <c r="N44" s="49">
        <v>0</v>
      </c>
      <c r="O44" s="49">
        <v>92340.92</v>
      </c>
      <c r="P44" s="49">
        <v>0</v>
      </c>
      <c r="Q44" s="49">
        <v>0</v>
      </c>
      <c r="R44" s="49">
        <v>0</v>
      </c>
      <c r="S44" s="94">
        <f>H44</f>
        <v>1539015.34</v>
      </c>
      <c r="T44" s="66">
        <v>2017</v>
      </c>
      <c r="U44" s="66">
        <v>2017</v>
      </c>
      <c r="V44" s="148" t="s">
        <v>145</v>
      </c>
      <c r="W44" s="147">
        <v>3</v>
      </c>
    </row>
    <row r="45" spans="1:23" ht="15.75" customHeight="1">
      <c r="A45" s="47">
        <f>A44+1</f>
        <v>25</v>
      </c>
      <c r="B45" s="48" t="s">
        <v>146</v>
      </c>
      <c r="C45" s="37">
        <v>1963</v>
      </c>
      <c r="D45" s="37"/>
      <c r="E45" s="214"/>
      <c r="F45" s="62">
        <v>1259.4000000000001</v>
      </c>
      <c r="G45" s="62">
        <v>1258.7</v>
      </c>
      <c r="H45" s="50">
        <f>I45+J45+K45+L45+M45+N45+O45</f>
        <v>3772676.34</v>
      </c>
      <c r="I45" s="49">
        <f>ROUND((690.32+191.67+290.35)*G45,2)-36061.61</f>
        <v>1439562.75</v>
      </c>
      <c r="J45" s="49">
        <v>0</v>
      </c>
      <c r="K45" s="49">
        <f>ROUND(1824.94*G45,2)-56135.83</f>
        <v>2240916.15</v>
      </c>
      <c r="L45" s="49">
        <v>0</v>
      </c>
      <c r="M45" s="49">
        <v>0</v>
      </c>
      <c r="N45" s="49">
        <v>0</v>
      </c>
      <c r="O45" s="49">
        <v>92197.440000000002</v>
      </c>
      <c r="P45" s="49">
        <v>0</v>
      </c>
      <c r="Q45" s="49">
        <v>0</v>
      </c>
      <c r="R45" s="49">
        <v>0</v>
      </c>
      <c r="S45" s="94">
        <f>H45</f>
        <v>3772676.34</v>
      </c>
      <c r="T45" s="66">
        <v>2017</v>
      </c>
      <c r="U45" s="66">
        <v>2017</v>
      </c>
      <c r="V45" s="148" t="s">
        <v>145</v>
      </c>
      <c r="W45" s="147">
        <v>4</v>
      </c>
    </row>
    <row r="46" spans="1:23" ht="15.75">
      <c r="A46" s="327" t="s">
        <v>263</v>
      </c>
      <c r="B46" s="333"/>
      <c r="C46" s="53"/>
      <c r="D46" s="53"/>
      <c r="E46" s="215"/>
      <c r="F46" s="65">
        <f t="shared" ref="F46:O46" si="5">SUM(F40:F45)</f>
        <v>8541.1999999999989</v>
      </c>
      <c r="G46" s="65">
        <f t="shared" si="5"/>
        <v>8028.2</v>
      </c>
      <c r="H46" s="52">
        <f t="shared" si="5"/>
        <v>13308734.810000001</v>
      </c>
      <c r="I46" s="46">
        <f t="shared" si="5"/>
        <v>1439562.75</v>
      </c>
      <c r="J46" s="46">
        <f t="shared" si="5"/>
        <v>0</v>
      </c>
      <c r="K46" s="46">
        <f t="shared" si="5"/>
        <v>6739089.7300000004</v>
      </c>
      <c r="L46" s="46">
        <f t="shared" si="5"/>
        <v>0</v>
      </c>
      <c r="M46" s="46">
        <f t="shared" si="5"/>
        <v>4652226.8899999997</v>
      </c>
      <c r="N46" s="46">
        <f t="shared" si="5"/>
        <v>0</v>
      </c>
      <c r="O46" s="46">
        <f t="shared" si="5"/>
        <v>477855.44</v>
      </c>
      <c r="P46" s="46">
        <f>SUM(P40:P45)</f>
        <v>0</v>
      </c>
      <c r="Q46" s="46">
        <f>SUM(Q40:Q45)</f>
        <v>0</v>
      </c>
      <c r="R46" s="46">
        <f>SUM(R40:R45)</f>
        <v>0</v>
      </c>
      <c r="S46" s="96">
        <f>SUM(S40:S45)</f>
        <v>13308734.810000001</v>
      </c>
      <c r="T46" s="22" t="s">
        <v>113</v>
      </c>
      <c r="U46" s="22" t="s">
        <v>113</v>
      </c>
    </row>
    <row r="47" spans="1:23" ht="15.75">
      <c r="A47" s="350" t="s">
        <v>28</v>
      </c>
      <c r="B47" s="351"/>
      <c r="C47" s="351"/>
      <c r="D47" s="351"/>
      <c r="E47" s="351"/>
      <c r="F47" s="351"/>
      <c r="G47" s="351"/>
      <c r="H47" s="351"/>
      <c r="I47" s="351"/>
      <c r="J47" s="351"/>
      <c r="K47" s="351"/>
      <c r="L47" s="351"/>
      <c r="M47" s="351"/>
      <c r="N47" s="351"/>
      <c r="O47" s="351"/>
      <c r="P47" s="351"/>
      <c r="Q47" s="351"/>
      <c r="R47" s="351"/>
      <c r="S47" s="352"/>
      <c r="T47" s="28"/>
      <c r="U47" s="29"/>
    </row>
    <row r="48" spans="1:23" s="24" customFormat="1" ht="15.75" customHeight="1">
      <c r="A48" s="47">
        <f>A45+1</f>
        <v>26</v>
      </c>
      <c r="B48" s="67" t="s">
        <v>463</v>
      </c>
      <c r="C48" s="150">
        <v>1982</v>
      </c>
      <c r="D48" s="197"/>
      <c r="E48" s="197"/>
      <c r="F48" s="149">
        <v>8790.4</v>
      </c>
      <c r="G48" s="149">
        <v>7380.1</v>
      </c>
      <c r="H48" s="50">
        <f>I48+J48+K48+L48+M48+N48+O48</f>
        <v>4950054.47</v>
      </c>
      <c r="I48" s="71">
        <v>0</v>
      </c>
      <c r="J48" s="49">
        <v>0</v>
      </c>
      <c r="K48" s="71">
        <f>ROUND(670.73*G48,2)-O48</f>
        <v>4820450.3499999996</v>
      </c>
      <c r="L48" s="49">
        <v>0</v>
      </c>
      <c r="M48" s="49">
        <v>0</v>
      </c>
      <c r="N48" s="49">
        <v>0</v>
      </c>
      <c r="O48" s="71">
        <v>129604.12</v>
      </c>
      <c r="P48" s="49">
        <v>0</v>
      </c>
      <c r="Q48" s="49">
        <v>0</v>
      </c>
      <c r="R48" s="49">
        <v>0</v>
      </c>
      <c r="S48" s="94">
        <f>H48</f>
        <v>4950054.47</v>
      </c>
      <c r="T48" s="66">
        <v>2017</v>
      </c>
      <c r="U48" s="66">
        <v>2017</v>
      </c>
      <c r="V48" s="248" t="s">
        <v>287</v>
      </c>
      <c r="W48" s="249">
        <v>9</v>
      </c>
    </row>
    <row r="49" spans="1:24" s="24" customFormat="1" ht="15.75" customHeight="1">
      <c r="A49" s="47">
        <f>A48+1</f>
        <v>27</v>
      </c>
      <c r="B49" s="67" t="s">
        <v>102</v>
      </c>
      <c r="C49" s="150">
        <v>1961</v>
      </c>
      <c r="D49" s="197"/>
      <c r="E49" s="197"/>
      <c r="F49" s="149">
        <v>2066.6</v>
      </c>
      <c r="G49" s="149">
        <v>1615.7</v>
      </c>
      <c r="H49" s="50">
        <f>I49+J49+K49+L49+M49+N49+O49</f>
        <v>5509520.8499999996</v>
      </c>
      <c r="I49" s="247">
        <f>ROUND((191.67+727.06+290.35)*G49,2)-75381.79</f>
        <v>1878128.77</v>
      </c>
      <c r="J49" s="49">
        <v>0</v>
      </c>
      <c r="K49" s="71">
        <f>ROUND(1056.15*G49,2)-65847.15</f>
        <v>1640574.4100000001</v>
      </c>
      <c r="L49" s="49">
        <v>0</v>
      </c>
      <c r="M49" s="49">
        <f>ROUND(1144.76*G49,2)-71371.66</f>
        <v>1778217.07</v>
      </c>
      <c r="N49" s="49">
        <v>0</v>
      </c>
      <c r="O49" s="71">
        <v>212600.6</v>
      </c>
      <c r="P49" s="49">
        <v>0</v>
      </c>
      <c r="Q49" s="49">
        <v>0</v>
      </c>
      <c r="R49" s="49">
        <v>0</v>
      </c>
      <c r="S49" s="94">
        <f>H49</f>
        <v>5509520.8499999996</v>
      </c>
      <c r="T49" s="66">
        <v>2017</v>
      </c>
      <c r="U49" s="66">
        <v>2017</v>
      </c>
      <c r="V49" s="35" t="s">
        <v>347</v>
      </c>
      <c r="W49" s="150">
        <v>5</v>
      </c>
    </row>
    <row r="50" spans="1:24" s="24" customFormat="1" ht="15.75" customHeight="1">
      <c r="A50" s="47">
        <f t="shared" ref="A50:A60" si="6">A49+1</f>
        <v>28</v>
      </c>
      <c r="B50" s="67" t="s">
        <v>342</v>
      </c>
      <c r="C50" s="150">
        <v>1939</v>
      </c>
      <c r="D50" s="197"/>
      <c r="E50" s="197"/>
      <c r="F50" s="149">
        <v>2874.7</v>
      </c>
      <c r="G50" s="149">
        <v>2281.1999999999998</v>
      </c>
      <c r="H50" s="50">
        <f>I50+J50+K50+L50+M50+N50+O50</f>
        <v>3426476.46</v>
      </c>
      <c r="I50" s="247">
        <f>ROUND((191.67+727.06+290.35+292.97)*G50,2)-O50</f>
        <v>3220887.87</v>
      </c>
      <c r="J50" s="49">
        <v>0</v>
      </c>
      <c r="K50" s="71">
        <v>0</v>
      </c>
      <c r="L50" s="49">
        <v>0</v>
      </c>
      <c r="M50" s="49">
        <v>0</v>
      </c>
      <c r="N50" s="49">
        <v>0</v>
      </c>
      <c r="O50" s="71">
        <v>205588.59</v>
      </c>
      <c r="P50" s="49">
        <v>0</v>
      </c>
      <c r="Q50" s="49">
        <v>0</v>
      </c>
      <c r="R50" s="49">
        <v>0</v>
      </c>
      <c r="S50" s="94">
        <f>H50</f>
        <v>3426476.46</v>
      </c>
      <c r="T50" s="66">
        <v>2017</v>
      </c>
      <c r="U50" s="66">
        <v>2017</v>
      </c>
      <c r="V50" s="35" t="s">
        <v>287</v>
      </c>
      <c r="W50" s="150">
        <v>4</v>
      </c>
    </row>
    <row r="51" spans="1:24" s="24" customFormat="1" ht="15.75" customHeight="1">
      <c r="A51" s="47">
        <f t="shared" si="6"/>
        <v>29</v>
      </c>
      <c r="B51" s="67" t="s">
        <v>421</v>
      </c>
      <c r="C51" s="150">
        <v>1970</v>
      </c>
      <c r="D51" s="197"/>
      <c r="E51" s="197"/>
      <c r="F51" s="149">
        <v>5184.4000000000005</v>
      </c>
      <c r="G51" s="149">
        <v>4788.3</v>
      </c>
      <c r="H51" s="50">
        <f>I51+J51+K51+L51+M51+N51+O51</f>
        <v>7192266.0199999996</v>
      </c>
      <c r="I51" s="247">
        <f>ROUND((191.67+727.06+290.35+292.97)*G51,2)-O51</f>
        <v>6760730.0599999996</v>
      </c>
      <c r="J51" s="49">
        <v>0</v>
      </c>
      <c r="K51" s="71">
        <v>0</v>
      </c>
      <c r="L51" s="49">
        <v>0</v>
      </c>
      <c r="M51" s="49">
        <v>0</v>
      </c>
      <c r="N51" s="49">
        <v>0</v>
      </c>
      <c r="O51" s="71">
        <v>431535.96</v>
      </c>
      <c r="P51" s="49">
        <v>0</v>
      </c>
      <c r="Q51" s="49">
        <v>0</v>
      </c>
      <c r="R51" s="49">
        <v>0</v>
      </c>
      <c r="S51" s="94">
        <f>H51</f>
        <v>7192266.0199999996</v>
      </c>
      <c r="T51" s="66">
        <v>2017</v>
      </c>
      <c r="U51" s="66">
        <v>2017</v>
      </c>
      <c r="V51" s="35" t="s">
        <v>287</v>
      </c>
      <c r="W51" s="150">
        <v>5</v>
      </c>
    </row>
    <row r="52" spans="1:24" s="24" customFormat="1" ht="15.75" customHeight="1">
      <c r="A52" s="47">
        <f t="shared" si="6"/>
        <v>30</v>
      </c>
      <c r="B52" s="67" t="s">
        <v>341</v>
      </c>
      <c r="C52" s="150">
        <v>1968</v>
      </c>
      <c r="D52" s="197"/>
      <c r="E52" s="197"/>
      <c r="F52" s="149">
        <v>4386.2</v>
      </c>
      <c r="G52" s="149">
        <v>3771.8</v>
      </c>
      <c r="H52" s="50">
        <f>I52+J52+K52+L52+M52+N52+O52</f>
        <v>9648830.1699999999</v>
      </c>
      <c r="I52" s="247">
        <f>ROUND((191.67+727.06+290.3+292.97)*G52,2)-289044.71</f>
        <v>5376198.8899999997</v>
      </c>
      <c r="J52" s="49">
        <v>0</v>
      </c>
      <c r="K52" s="71">
        <f>ROUND(1056.15*G52,2)-203245.39</f>
        <v>3780341.1799999997</v>
      </c>
      <c r="L52" s="49">
        <v>0</v>
      </c>
      <c r="M52" s="49">
        <v>0</v>
      </c>
      <c r="N52" s="49">
        <v>0</v>
      </c>
      <c r="O52" s="71">
        <v>492290.1</v>
      </c>
      <c r="P52" s="49">
        <v>0</v>
      </c>
      <c r="Q52" s="49">
        <v>0</v>
      </c>
      <c r="R52" s="49">
        <v>0</v>
      </c>
      <c r="S52" s="94">
        <f>H52</f>
        <v>9648830.1699999999</v>
      </c>
      <c r="T52" s="66">
        <v>2017</v>
      </c>
      <c r="U52" s="66">
        <v>2017</v>
      </c>
      <c r="V52" s="35" t="s">
        <v>287</v>
      </c>
      <c r="W52" s="150">
        <v>5</v>
      </c>
    </row>
    <row r="53" spans="1:24" s="24" customFormat="1" ht="15.75" customHeight="1">
      <c r="A53" s="47">
        <f t="shared" si="6"/>
        <v>31</v>
      </c>
      <c r="B53" s="67" t="s">
        <v>420</v>
      </c>
      <c r="C53" s="150">
        <v>1968</v>
      </c>
      <c r="D53" s="197"/>
      <c r="E53" s="197"/>
      <c r="F53" s="149">
        <v>4360.6000000000004</v>
      </c>
      <c r="G53" s="149">
        <v>3372.7</v>
      </c>
      <c r="H53" s="50">
        <f>I53+J53+K53+L53+M53+N53+O53</f>
        <v>11220939.180000002</v>
      </c>
      <c r="I53" s="247">
        <f>ROUND((191.67+727.06+290.35+292.97)*G53,2)-195324.14</f>
        <v>4870639.9000000004</v>
      </c>
      <c r="J53" s="49">
        <v>0</v>
      </c>
      <c r="K53" s="71">
        <f>ROUND(1824.94*G53,2)-237312.24</f>
        <v>5917662.8999999994</v>
      </c>
      <c r="L53" s="49">
        <v>0</v>
      </c>
      <c r="M53" s="49">
        <v>0</v>
      </c>
      <c r="N53" s="49">
        <v>0</v>
      </c>
      <c r="O53" s="71">
        <v>432636.38</v>
      </c>
      <c r="P53" s="49">
        <v>0</v>
      </c>
      <c r="Q53" s="49">
        <v>0</v>
      </c>
      <c r="R53" s="49">
        <v>0</v>
      </c>
      <c r="S53" s="94">
        <f>H53</f>
        <v>11220939.180000002</v>
      </c>
      <c r="T53" s="66">
        <v>2017</v>
      </c>
      <c r="U53" s="66">
        <v>2017</v>
      </c>
      <c r="V53" s="35" t="s">
        <v>287</v>
      </c>
      <c r="W53" s="150">
        <v>5</v>
      </c>
    </row>
    <row r="54" spans="1:24" s="24" customFormat="1" ht="15.75" customHeight="1">
      <c r="A54" s="47">
        <f t="shared" si="6"/>
        <v>32</v>
      </c>
      <c r="B54" s="67" t="s">
        <v>345</v>
      </c>
      <c r="C54" s="150">
        <v>1970</v>
      </c>
      <c r="D54" s="197"/>
      <c r="E54" s="197"/>
      <c r="F54" s="149">
        <v>2055</v>
      </c>
      <c r="G54" s="149">
        <v>1592.6</v>
      </c>
      <c r="H54" s="50">
        <f>I54+J54+K54+L54+M54+N54+O54</f>
        <v>3607653.08</v>
      </c>
      <c r="I54" s="247">
        <f>ROUND((191.67+727.09+290.35)*G54,2)-92025.19</f>
        <v>1833603.4000000001</v>
      </c>
      <c r="J54" s="49">
        <v>0</v>
      </c>
      <c r="K54" s="71">
        <f>ROUND(1056.15*G54,2)-80383.43</f>
        <v>1601641.06</v>
      </c>
      <c r="L54" s="49">
        <v>0</v>
      </c>
      <c r="M54" s="49">
        <v>0</v>
      </c>
      <c r="N54" s="49">
        <v>0</v>
      </c>
      <c r="O54" s="71">
        <v>172408.62</v>
      </c>
      <c r="P54" s="49">
        <v>0</v>
      </c>
      <c r="Q54" s="49">
        <v>0</v>
      </c>
      <c r="R54" s="49">
        <v>0</v>
      </c>
      <c r="S54" s="94">
        <f>H54</f>
        <v>3607653.08</v>
      </c>
      <c r="T54" s="66">
        <v>2017</v>
      </c>
      <c r="U54" s="66">
        <v>2017</v>
      </c>
      <c r="V54" s="35" t="s">
        <v>287</v>
      </c>
      <c r="W54" s="150">
        <v>5</v>
      </c>
    </row>
    <row r="55" spans="1:24" s="24" customFormat="1" ht="15.75" customHeight="1">
      <c r="A55" s="47">
        <f t="shared" si="6"/>
        <v>33</v>
      </c>
      <c r="B55" s="67" t="s">
        <v>343</v>
      </c>
      <c r="C55" s="150">
        <v>1963</v>
      </c>
      <c r="D55" s="197"/>
      <c r="E55" s="197"/>
      <c r="F55" s="149">
        <v>2722.3</v>
      </c>
      <c r="G55" s="149">
        <v>2538.6999999999998</v>
      </c>
      <c r="H55" s="50">
        <f>I55+J55+K55+L55+M55+N55+O55</f>
        <v>6494502.3499999996</v>
      </c>
      <c r="I55" s="247">
        <f>ROUND((191.67+727.06+290.35+292.97)*G55,2)-134536.73</f>
        <v>3678717.61</v>
      </c>
      <c r="J55" s="49">
        <v>0</v>
      </c>
      <c r="K55" s="71">
        <f>ROUND(1056.15*G55,2)-94598.03</f>
        <v>2586649.98</v>
      </c>
      <c r="L55" s="49">
        <v>0</v>
      </c>
      <c r="M55" s="49">
        <v>0</v>
      </c>
      <c r="N55" s="49">
        <v>0</v>
      </c>
      <c r="O55" s="71">
        <v>229134.76</v>
      </c>
      <c r="P55" s="49">
        <v>0</v>
      </c>
      <c r="Q55" s="49">
        <v>0</v>
      </c>
      <c r="R55" s="49">
        <v>0</v>
      </c>
      <c r="S55" s="94">
        <f>H55</f>
        <v>6494502.3499999996</v>
      </c>
      <c r="T55" s="66">
        <v>2017</v>
      </c>
      <c r="U55" s="66">
        <v>2017</v>
      </c>
      <c r="V55" s="35" t="s">
        <v>287</v>
      </c>
      <c r="W55" s="150">
        <v>5</v>
      </c>
    </row>
    <row r="56" spans="1:24" s="24" customFormat="1" ht="15.75" customHeight="1">
      <c r="A56" s="47">
        <f t="shared" si="6"/>
        <v>34</v>
      </c>
      <c r="B56" s="67" t="s">
        <v>344</v>
      </c>
      <c r="C56" s="150">
        <v>1967</v>
      </c>
      <c r="D56" s="197"/>
      <c r="E56" s="197"/>
      <c r="F56" s="149">
        <v>4866.8</v>
      </c>
      <c r="G56" s="149">
        <v>3882.2</v>
      </c>
      <c r="H56" s="50">
        <f>I56+J56+K56+L56+M56+N56+O56</f>
        <v>9931444.0399999991</v>
      </c>
      <c r="I56" s="247">
        <f>ROUND((191.67+727.06+290.35+292.97)*G56,2)-305930.38</f>
        <v>5525328.1299999999</v>
      </c>
      <c r="J56" s="49">
        <v>0</v>
      </c>
      <c r="K56" s="71">
        <f>ROUND(1056.15*G56,2)-215111.6</f>
        <v>3885073.9299999997</v>
      </c>
      <c r="L56" s="49">
        <v>0</v>
      </c>
      <c r="M56" s="49">
        <v>0</v>
      </c>
      <c r="N56" s="49">
        <v>0</v>
      </c>
      <c r="O56" s="71">
        <v>521041.98</v>
      </c>
      <c r="P56" s="49">
        <v>0</v>
      </c>
      <c r="Q56" s="49">
        <v>0</v>
      </c>
      <c r="R56" s="49">
        <v>0</v>
      </c>
      <c r="S56" s="94">
        <f>H56</f>
        <v>9931444.0399999991</v>
      </c>
      <c r="T56" s="66">
        <v>2017</v>
      </c>
      <c r="U56" s="66">
        <v>2017</v>
      </c>
      <c r="V56" s="35" t="s">
        <v>287</v>
      </c>
      <c r="W56" s="150">
        <v>5</v>
      </c>
    </row>
    <row r="57" spans="1:24" s="24" customFormat="1" ht="15.75" customHeight="1">
      <c r="A57" s="47">
        <f t="shared" si="6"/>
        <v>35</v>
      </c>
      <c r="B57" s="67" t="s">
        <v>466</v>
      </c>
      <c r="C57" s="150">
        <v>1967</v>
      </c>
      <c r="D57" s="197"/>
      <c r="E57" s="197"/>
      <c r="F57" s="149">
        <v>4428.2</v>
      </c>
      <c r="G57" s="149">
        <v>3431.8</v>
      </c>
      <c r="H57" s="50">
        <f>I57+J57+K57+L57+M57+N57+O57</f>
        <v>8779230.7599999998</v>
      </c>
      <c r="I57" s="247">
        <f>ROUND((191.67+727.06+290.35+292.97)*G57,2)-281115.69</f>
        <v>4873619.5</v>
      </c>
      <c r="J57" s="49">
        <v>0</v>
      </c>
      <c r="K57" s="71">
        <f>ROUND(1056.15*G57,2)-197663.41</f>
        <v>3426832.1599999997</v>
      </c>
      <c r="L57" s="49">
        <v>0</v>
      </c>
      <c r="M57" s="49">
        <v>0</v>
      </c>
      <c r="N57" s="49">
        <v>0</v>
      </c>
      <c r="O57" s="71">
        <v>478779.1</v>
      </c>
      <c r="P57" s="49">
        <v>0</v>
      </c>
      <c r="Q57" s="49">
        <v>0</v>
      </c>
      <c r="R57" s="49">
        <v>0</v>
      </c>
      <c r="S57" s="94">
        <f>H57</f>
        <v>8779230.7599999998</v>
      </c>
      <c r="T57" s="66">
        <v>2017</v>
      </c>
      <c r="U57" s="66">
        <v>2017</v>
      </c>
      <c r="V57" s="35" t="s">
        <v>287</v>
      </c>
      <c r="W57" s="150">
        <v>5</v>
      </c>
    </row>
    <row r="58" spans="1:24" s="24" customFormat="1" ht="15.75" customHeight="1">
      <c r="A58" s="47">
        <f t="shared" si="6"/>
        <v>36</v>
      </c>
      <c r="B58" s="30" t="s">
        <v>101</v>
      </c>
      <c r="C58" s="66">
        <v>1957</v>
      </c>
      <c r="D58" s="135"/>
      <c r="E58" s="135"/>
      <c r="F58" s="149">
        <v>1872</v>
      </c>
      <c r="G58" s="149">
        <v>1306.9000000000001</v>
      </c>
      <c r="H58" s="50">
        <f>I58+J58+K58+L58+M58+N58+O58</f>
        <v>2696775.08</v>
      </c>
      <c r="I58" s="247">
        <f>ROUND((191.67+727.06)*G58,2)-72041.29</f>
        <v>1128646.95</v>
      </c>
      <c r="J58" s="49">
        <v>0</v>
      </c>
      <c r="K58" s="71">
        <v>0</v>
      </c>
      <c r="L58" s="49">
        <v>0</v>
      </c>
      <c r="M58" s="49">
        <f>ROUND(1144.76*G58,2)-89765.21</f>
        <v>1406321.6300000001</v>
      </c>
      <c r="N58" s="49">
        <v>0</v>
      </c>
      <c r="O58" s="71">
        <v>161806.5</v>
      </c>
      <c r="P58" s="49">
        <v>0</v>
      </c>
      <c r="Q58" s="49">
        <v>0</v>
      </c>
      <c r="R58" s="49">
        <v>0</v>
      </c>
      <c r="S58" s="94">
        <f>H58</f>
        <v>2696775.08</v>
      </c>
      <c r="T58" s="66">
        <v>2017</v>
      </c>
      <c r="U58" s="66">
        <v>2017</v>
      </c>
      <c r="V58" s="35" t="s">
        <v>287</v>
      </c>
      <c r="W58" s="150">
        <v>3</v>
      </c>
    </row>
    <row r="59" spans="1:24" s="24" customFormat="1" ht="15.75" customHeight="1">
      <c r="A59" s="47">
        <f t="shared" si="6"/>
        <v>37</v>
      </c>
      <c r="B59" s="67" t="s">
        <v>103</v>
      </c>
      <c r="C59" s="150">
        <v>1947</v>
      </c>
      <c r="D59" s="197"/>
      <c r="E59" s="197"/>
      <c r="F59" s="149">
        <v>1228.7</v>
      </c>
      <c r="G59" s="149">
        <v>916.1</v>
      </c>
      <c r="H59" s="50">
        <f>I59+J59+K59+L59+M59+N59+O59</f>
        <v>6232173.3300000001</v>
      </c>
      <c r="I59" s="247">
        <f>ROUND((197.29+748.38+298.86)*G59,2)-40889.73</f>
        <v>1099224.2</v>
      </c>
      <c r="J59" s="49">
        <v>0</v>
      </c>
      <c r="K59" s="71">
        <f>ROUND(4211.64*G59,2)-138375.8</f>
        <v>3719907.6</v>
      </c>
      <c r="L59" s="49">
        <v>0</v>
      </c>
      <c r="M59" s="49">
        <f>ROUND(1346.77*G59,2)-44248.89</f>
        <v>1189527.1100000001</v>
      </c>
      <c r="N59" s="49">
        <v>0</v>
      </c>
      <c r="O59" s="71">
        <v>223514.42</v>
      </c>
      <c r="P59" s="49">
        <v>0</v>
      </c>
      <c r="Q59" s="49">
        <v>0</v>
      </c>
      <c r="R59" s="49">
        <v>0</v>
      </c>
      <c r="S59" s="94">
        <f>H59</f>
        <v>6232173.3300000001</v>
      </c>
      <c r="T59" s="66">
        <v>2017</v>
      </c>
      <c r="U59" s="66">
        <v>2017</v>
      </c>
      <c r="V59" s="35" t="s">
        <v>287</v>
      </c>
      <c r="W59" s="150">
        <v>2</v>
      </c>
    </row>
    <row r="60" spans="1:24" s="24" customFormat="1" ht="15.75" customHeight="1">
      <c r="A60" s="47">
        <f t="shared" si="6"/>
        <v>38</v>
      </c>
      <c r="B60" s="67" t="s">
        <v>346</v>
      </c>
      <c r="C60" s="150">
        <v>1963</v>
      </c>
      <c r="D60" s="150"/>
      <c r="E60" s="150"/>
      <c r="F60" s="149">
        <v>3505.5</v>
      </c>
      <c r="G60" s="149">
        <v>3257.6</v>
      </c>
      <c r="H60" s="50">
        <f>I60+J60+K60+L60+M60+N60+O60</f>
        <v>8333592.3200000003</v>
      </c>
      <c r="I60" s="247">
        <f>ROUND((191.67+727.06+290.35+292.97)*G60,2)-246467.53</f>
        <v>4646610.55</v>
      </c>
      <c r="J60" s="49">
        <v>0</v>
      </c>
      <c r="K60" s="71">
        <f>ROUND(1056.15*G60,2)-173300.95</f>
        <v>3267213.29</v>
      </c>
      <c r="L60" s="49">
        <v>0</v>
      </c>
      <c r="M60" s="49">
        <v>0</v>
      </c>
      <c r="N60" s="49">
        <v>0</v>
      </c>
      <c r="O60" s="71">
        <v>419768.48</v>
      </c>
      <c r="P60" s="49">
        <v>0</v>
      </c>
      <c r="Q60" s="49">
        <v>0</v>
      </c>
      <c r="R60" s="49">
        <v>0</v>
      </c>
      <c r="S60" s="94">
        <f>H60</f>
        <v>8333592.3200000003</v>
      </c>
      <c r="T60" s="66">
        <v>2017</v>
      </c>
      <c r="U60" s="66">
        <v>2017</v>
      </c>
      <c r="V60" s="35" t="s">
        <v>287</v>
      </c>
      <c r="W60" s="150">
        <v>5</v>
      </c>
    </row>
    <row r="61" spans="1:24" ht="15.75">
      <c r="A61" s="327" t="s">
        <v>263</v>
      </c>
      <c r="B61" s="333"/>
      <c r="C61" s="47"/>
      <c r="D61" s="222"/>
      <c r="E61" s="222"/>
      <c r="F61" s="96">
        <f t="shared" ref="F61:O61" si="7">SUM(F48:F60)</f>
        <v>48341.399999999994</v>
      </c>
      <c r="G61" s="96">
        <f t="shared" si="7"/>
        <v>40135.699999999997</v>
      </c>
      <c r="H61" s="52">
        <f t="shared" si="7"/>
        <v>88023458.109999985</v>
      </c>
      <c r="I61" s="46">
        <f t="shared" si="7"/>
        <v>44892335.829999998</v>
      </c>
      <c r="J61" s="46">
        <f t="shared" si="7"/>
        <v>0</v>
      </c>
      <c r="K61" s="46">
        <f t="shared" si="7"/>
        <v>34646346.859999999</v>
      </c>
      <c r="L61" s="46">
        <f t="shared" si="7"/>
        <v>0</v>
      </c>
      <c r="M61" s="46">
        <f t="shared" si="7"/>
        <v>4374065.8100000005</v>
      </c>
      <c r="N61" s="46">
        <f t="shared" si="7"/>
        <v>0</v>
      </c>
      <c r="O61" s="46">
        <f t="shared" si="7"/>
        <v>4110709.61</v>
      </c>
      <c r="P61" s="46">
        <f>SUM(P48:P60)</f>
        <v>0</v>
      </c>
      <c r="Q61" s="46">
        <f>SUM(Q48:Q60)</f>
        <v>0</v>
      </c>
      <c r="R61" s="46">
        <f>SUM(R48:R60)</f>
        <v>0</v>
      </c>
      <c r="S61" s="96">
        <f>SUM(S48:S60)</f>
        <v>88023458.109999985</v>
      </c>
      <c r="T61" s="22" t="s">
        <v>113</v>
      </c>
      <c r="U61" s="22" t="s">
        <v>113</v>
      </c>
    </row>
    <row r="62" spans="1:24" ht="15.75">
      <c r="A62" s="347" t="s">
        <v>31</v>
      </c>
      <c r="B62" s="348"/>
      <c r="C62" s="348"/>
      <c r="D62" s="348"/>
      <c r="E62" s="348"/>
      <c r="F62" s="348"/>
      <c r="G62" s="348"/>
      <c r="H62" s="348"/>
      <c r="I62" s="348"/>
      <c r="J62" s="348"/>
      <c r="K62" s="348"/>
      <c r="L62" s="348"/>
      <c r="M62" s="348"/>
      <c r="N62" s="348"/>
      <c r="O62" s="348"/>
      <c r="P62" s="348"/>
      <c r="Q62" s="348"/>
      <c r="R62" s="348"/>
      <c r="S62" s="349"/>
      <c r="T62" s="28"/>
      <c r="U62" s="28"/>
    </row>
    <row r="63" spans="1:24" s="24" customFormat="1" ht="15.75" customHeight="1">
      <c r="A63" s="66">
        <f>A60+1</f>
        <v>39</v>
      </c>
      <c r="B63" s="35" t="s">
        <v>42</v>
      </c>
      <c r="C63" s="37" t="s">
        <v>89</v>
      </c>
      <c r="D63" s="37"/>
      <c r="E63" s="214"/>
      <c r="F63" s="94">
        <v>3705.2</v>
      </c>
      <c r="G63" s="151">
        <v>3387.4</v>
      </c>
      <c r="H63" s="50">
        <f>I63+J63+K63+L63+M63+N63+O63</f>
        <v>5051629.62</v>
      </c>
      <c r="I63" s="50">
        <f>ROUND((214.38+293.24+267.62+716.06)*G63,2)-O63</f>
        <v>4748531.84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188">
        <v>303097.78000000003</v>
      </c>
      <c r="P63" s="50">
        <v>0</v>
      </c>
      <c r="Q63" s="50">
        <v>0</v>
      </c>
      <c r="R63" s="50">
        <v>0</v>
      </c>
      <c r="S63" s="94">
        <f>H63</f>
        <v>5051629.62</v>
      </c>
      <c r="T63" s="66">
        <v>2017</v>
      </c>
      <c r="U63" s="66">
        <v>2017</v>
      </c>
      <c r="V63" s="152" t="s">
        <v>144</v>
      </c>
      <c r="W63" s="153">
        <v>5</v>
      </c>
      <c r="X63" s="154" t="s">
        <v>156</v>
      </c>
    </row>
    <row r="64" spans="1:24" s="24" customFormat="1" ht="15.75" customHeight="1">
      <c r="A64" s="66">
        <f t="shared" ref="A64:A127" si="8">A63+1</f>
        <v>40</v>
      </c>
      <c r="B64" s="35" t="s">
        <v>164</v>
      </c>
      <c r="C64" s="37" t="s">
        <v>89</v>
      </c>
      <c r="D64" s="37"/>
      <c r="E64" s="214"/>
      <c r="F64" s="94">
        <v>3752.8</v>
      </c>
      <c r="G64" s="151">
        <v>3736.3</v>
      </c>
      <c r="H64" s="50">
        <f>I64+J64+K64+L64+M64+N64+O64</f>
        <v>5612109.4199999999</v>
      </c>
      <c r="I64" s="50">
        <f>ROUND((191.67+290.35+292.97+727.06)*G64,2)-O64</f>
        <v>5347395.3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188">
        <v>264714.12</v>
      </c>
      <c r="P64" s="50">
        <v>0</v>
      </c>
      <c r="Q64" s="50">
        <v>0</v>
      </c>
      <c r="R64" s="50">
        <v>0</v>
      </c>
      <c r="S64" s="94">
        <f>H64</f>
        <v>5612109.4199999999</v>
      </c>
      <c r="T64" s="66">
        <v>2017</v>
      </c>
      <c r="U64" s="66">
        <v>2017</v>
      </c>
      <c r="V64" s="152" t="s">
        <v>145</v>
      </c>
      <c r="W64" s="153">
        <v>5</v>
      </c>
      <c r="X64" s="154" t="s">
        <v>155</v>
      </c>
    </row>
    <row r="65" spans="1:24" s="24" customFormat="1" ht="15.75" customHeight="1">
      <c r="A65" s="66">
        <f t="shared" si="8"/>
        <v>41</v>
      </c>
      <c r="B65" s="155" t="s">
        <v>104</v>
      </c>
      <c r="C65" s="37" t="s">
        <v>452</v>
      </c>
      <c r="D65" s="37"/>
      <c r="E65" s="214"/>
      <c r="F65" s="94">
        <v>3456.9</v>
      </c>
      <c r="G65" s="151">
        <v>3412.6</v>
      </c>
      <c r="H65" s="50">
        <f>I65+J65+K65+L65+M65+N65+O65</f>
        <v>4135047.42</v>
      </c>
      <c r="I65" s="50">
        <f>ROUND((191.67+292.97+727.06)*G65,2)-O65</f>
        <v>3894096.14</v>
      </c>
      <c r="J65" s="50">
        <v>0</v>
      </c>
      <c r="K65" s="50">
        <v>0</v>
      </c>
      <c r="L65" s="50">
        <v>0</v>
      </c>
      <c r="M65" s="50">
        <v>0</v>
      </c>
      <c r="N65" s="50">
        <v>0</v>
      </c>
      <c r="O65" s="188">
        <v>240951.28</v>
      </c>
      <c r="P65" s="50">
        <v>0</v>
      </c>
      <c r="Q65" s="50">
        <v>0</v>
      </c>
      <c r="R65" s="50">
        <v>0</v>
      </c>
      <c r="S65" s="94">
        <f>H65</f>
        <v>4135047.42</v>
      </c>
      <c r="T65" s="66">
        <v>2017</v>
      </c>
      <c r="U65" s="66">
        <v>2017</v>
      </c>
      <c r="V65" s="152" t="s">
        <v>145</v>
      </c>
      <c r="W65" s="153">
        <v>5</v>
      </c>
      <c r="X65" s="154" t="s">
        <v>155</v>
      </c>
    </row>
    <row r="66" spans="1:24" s="24" customFormat="1" ht="15.75" customHeight="1">
      <c r="A66" s="66">
        <f t="shared" si="8"/>
        <v>42</v>
      </c>
      <c r="B66" s="155" t="s">
        <v>43</v>
      </c>
      <c r="C66" s="37" t="s">
        <v>452</v>
      </c>
      <c r="D66" s="37"/>
      <c r="E66" s="214"/>
      <c r="F66" s="94">
        <v>2849.7</v>
      </c>
      <c r="G66" s="151">
        <v>2400.1</v>
      </c>
      <c r="H66" s="50">
        <f>I66+J66+K66+L66+M66+N66+O66</f>
        <v>2747538.48</v>
      </c>
      <c r="I66" s="50">
        <v>0</v>
      </c>
      <c r="J66" s="50">
        <v>0</v>
      </c>
      <c r="K66" s="50">
        <v>0</v>
      </c>
      <c r="L66" s="50">
        <v>0</v>
      </c>
      <c r="M66" s="49">
        <f>ROUND(1144.76*G66,2)-O66</f>
        <v>2616722.5</v>
      </c>
      <c r="N66" s="50">
        <v>0</v>
      </c>
      <c r="O66" s="188">
        <v>130815.98</v>
      </c>
      <c r="P66" s="50">
        <v>0</v>
      </c>
      <c r="Q66" s="50">
        <v>0</v>
      </c>
      <c r="R66" s="50">
        <v>0</v>
      </c>
      <c r="S66" s="94">
        <f>H66</f>
        <v>2747538.48</v>
      </c>
      <c r="T66" s="66">
        <v>2017</v>
      </c>
      <c r="U66" s="66">
        <v>2017</v>
      </c>
      <c r="V66" s="152" t="s">
        <v>145</v>
      </c>
      <c r="W66" s="153">
        <v>5</v>
      </c>
      <c r="X66" s="154" t="s">
        <v>155</v>
      </c>
    </row>
    <row r="67" spans="1:24" s="24" customFormat="1" ht="15.75" customHeight="1">
      <c r="A67" s="66">
        <f t="shared" si="8"/>
        <v>43</v>
      </c>
      <c r="B67" s="35" t="s">
        <v>163</v>
      </c>
      <c r="C67" s="37" t="s">
        <v>453</v>
      </c>
      <c r="D67" s="37"/>
      <c r="E67" s="214"/>
      <c r="F67" s="94">
        <v>4405.8</v>
      </c>
      <c r="G67" s="151">
        <v>4345.2</v>
      </c>
      <c r="H67" s="50">
        <f>I67+J67+K67+L67+M67+N67+O67</f>
        <v>6479996.7599999998</v>
      </c>
      <c r="I67" s="50">
        <f>ROUND((214.38+293.24+267.62+716.06)*G67,2)-O67</f>
        <v>6131015.2999999998</v>
      </c>
      <c r="J67" s="50">
        <v>0</v>
      </c>
      <c r="K67" s="50">
        <v>0</v>
      </c>
      <c r="L67" s="50">
        <v>0</v>
      </c>
      <c r="M67" s="50">
        <v>0</v>
      </c>
      <c r="N67" s="50">
        <v>0</v>
      </c>
      <c r="O67" s="188">
        <v>348981.46</v>
      </c>
      <c r="P67" s="50">
        <v>0</v>
      </c>
      <c r="Q67" s="50">
        <v>0</v>
      </c>
      <c r="R67" s="50">
        <v>0</v>
      </c>
      <c r="S67" s="94">
        <f>H67</f>
        <v>6479996.7599999998</v>
      </c>
      <c r="T67" s="66">
        <v>2017</v>
      </c>
      <c r="U67" s="66">
        <v>2017</v>
      </c>
      <c r="V67" s="152" t="s">
        <v>144</v>
      </c>
      <c r="W67" s="153">
        <v>5</v>
      </c>
      <c r="X67" s="156" t="s">
        <v>155</v>
      </c>
    </row>
    <row r="68" spans="1:24" s="24" customFormat="1" ht="15.75" customHeight="1">
      <c r="A68" s="66">
        <f t="shared" si="8"/>
        <v>44</v>
      </c>
      <c r="B68" s="155" t="s">
        <v>165</v>
      </c>
      <c r="C68" s="37" t="s">
        <v>453</v>
      </c>
      <c r="D68" s="37"/>
      <c r="E68" s="214"/>
      <c r="F68" s="94">
        <v>4481.3</v>
      </c>
      <c r="G68" s="151">
        <v>4420</v>
      </c>
      <c r="H68" s="50">
        <f>I68+J68+K68+L68+M68+N68+O68</f>
        <v>6591546</v>
      </c>
      <c r="I68" s="50">
        <f>ROUND((214.38+293.24+267.62+716.06)*G68,2)-O68</f>
        <v>6240433.4400000004</v>
      </c>
      <c r="J68" s="50">
        <v>0</v>
      </c>
      <c r="K68" s="50">
        <v>0</v>
      </c>
      <c r="L68" s="50">
        <v>0</v>
      </c>
      <c r="M68" s="50">
        <v>0</v>
      </c>
      <c r="N68" s="50">
        <v>0</v>
      </c>
      <c r="O68" s="188">
        <v>351112.56</v>
      </c>
      <c r="P68" s="50">
        <v>0</v>
      </c>
      <c r="Q68" s="50">
        <v>0</v>
      </c>
      <c r="R68" s="50">
        <v>0</v>
      </c>
      <c r="S68" s="94">
        <f>H68</f>
        <v>6591546</v>
      </c>
      <c r="T68" s="66">
        <v>2017</v>
      </c>
      <c r="U68" s="66">
        <v>2017</v>
      </c>
      <c r="V68" s="152" t="s">
        <v>144</v>
      </c>
      <c r="W68" s="153">
        <v>5</v>
      </c>
      <c r="X68" s="154" t="s">
        <v>155</v>
      </c>
    </row>
    <row r="69" spans="1:24" s="24" customFormat="1" ht="15.75" customHeight="1">
      <c r="A69" s="66">
        <f t="shared" si="8"/>
        <v>45</v>
      </c>
      <c r="B69" s="35" t="s">
        <v>162</v>
      </c>
      <c r="C69" s="37" t="s">
        <v>67</v>
      </c>
      <c r="D69" s="37"/>
      <c r="E69" s="214"/>
      <c r="F69" s="94">
        <v>3876.2</v>
      </c>
      <c r="G69" s="151">
        <v>3876.2</v>
      </c>
      <c r="H69" s="50">
        <f>I69+J69+K69+L69+M69+N69+O69</f>
        <v>6269327.120000001</v>
      </c>
      <c r="I69" s="50">
        <f>ROUND((229.94+400.71+270.85+715.89)*G69,2)-O69</f>
        <v>5916671.1400000006</v>
      </c>
      <c r="J69" s="50">
        <v>0</v>
      </c>
      <c r="K69" s="50">
        <v>0</v>
      </c>
      <c r="L69" s="50">
        <v>0</v>
      </c>
      <c r="M69" s="50">
        <v>0</v>
      </c>
      <c r="N69" s="50">
        <v>0</v>
      </c>
      <c r="O69" s="188">
        <v>352655.98</v>
      </c>
      <c r="P69" s="50">
        <v>0</v>
      </c>
      <c r="Q69" s="50">
        <v>0</v>
      </c>
      <c r="R69" s="50">
        <v>0</v>
      </c>
      <c r="S69" s="94">
        <f>H69</f>
        <v>6269327.120000001</v>
      </c>
      <c r="T69" s="66">
        <v>2017</v>
      </c>
      <c r="U69" s="66">
        <v>2017</v>
      </c>
      <c r="V69" s="152" t="s">
        <v>144</v>
      </c>
      <c r="W69" s="153">
        <v>9</v>
      </c>
      <c r="X69" s="154" t="s">
        <v>155</v>
      </c>
    </row>
    <row r="70" spans="1:24" s="24" customFormat="1" ht="15.75" customHeight="1">
      <c r="A70" s="66">
        <f t="shared" si="8"/>
        <v>46</v>
      </c>
      <c r="B70" s="35" t="s">
        <v>250</v>
      </c>
      <c r="C70" s="47" t="s">
        <v>54</v>
      </c>
      <c r="D70" s="47"/>
      <c r="E70" s="195"/>
      <c r="F70" s="94">
        <v>3903.4</v>
      </c>
      <c r="G70" s="151">
        <v>3864</v>
      </c>
      <c r="H70" s="50">
        <f>I70+J70+K70+L70+M70+N70+O70</f>
        <v>6075603.3200000003</v>
      </c>
      <c r="I70" s="50">
        <v>0</v>
      </c>
      <c r="J70" s="157">
        <f>3037801.66*2</f>
        <v>6075603.3200000003</v>
      </c>
      <c r="K70" s="50">
        <v>0</v>
      </c>
      <c r="L70" s="49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94">
        <f>H70</f>
        <v>6075603.3200000003</v>
      </c>
      <c r="T70" s="66">
        <v>2017</v>
      </c>
      <c r="U70" s="66">
        <v>2017</v>
      </c>
      <c r="V70" s="152" t="s">
        <v>144</v>
      </c>
      <c r="W70" s="153">
        <v>9</v>
      </c>
      <c r="X70" s="154" t="s">
        <v>155</v>
      </c>
    </row>
    <row r="71" spans="1:24" s="24" customFormat="1" ht="15.75" customHeight="1">
      <c r="A71" s="66">
        <f t="shared" si="8"/>
        <v>47</v>
      </c>
      <c r="B71" s="35" t="s">
        <v>442</v>
      </c>
      <c r="C71" s="47" t="s">
        <v>452</v>
      </c>
      <c r="D71" s="47"/>
      <c r="E71" s="195"/>
      <c r="F71" s="94">
        <v>3915.3</v>
      </c>
      <c r="G71" s="151">
        <v>3897.8</v>
      </c>
      <c r="H71" s="50">
        <f>I71+J71+K71+L71+M71+N71+O71</f>
        <v>6075603.3200000003</v>
      </c>
      <c r="I71" s="50">
        <v>0</v>
      </c>
      <c r="J71" s="157">
        <f>3037801.66*2</f>
        <v>6075603.3200000003</v>
      </c>
      <c r="K71" s="50">
        <v>0</v>
      </c>
      <c r="L71" s="49">
        <v>0</v>
      </c>
      <c r="M71" s="50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94">
        <f>H71</f>
        <v>6075603.3200000003</v>
      </c>
      <c r="T71" s="66">
        <v>2017</v>
      </c>
      <c r="U71" s="66">
        <v>2017</v>
      </c>
      <c r="V71" s="152" t="s">
        <v>144</v>
      </c>
      <c r="W71" s="153">
        <v>9</v>
      </c>
      <c r="X71" s="154" t="s">
        <v>155</v>
      </c>
    </row>
    <row r="72" spans="1:24" s="24" customFormat="1" ht="15.75" customHeight="1">
      <c r="A72" s="66">
        <f t="shared" si="8"/>
        <v>48</v>
      </c>
      <c r="B72" s="35" t="s">
        <v>426</v>
      </c>
      <c r="C72" s="47" t="s">
        <v>22</v>
      </c>
      <c r="D72" s="47"/>
      <c r="E72" s="195"/>
      <c r="F72" s="94">
        <v>3913.9</v>
      </c>
      <c r="G72" s="151">
        <v>3867.3</v>
      </c>
      <c r="H72" s="50">
        <f>I72+J72+K72+L72+M72+N72+O72</f>
        <v>8797177.0199999996</v>
      </c>
      <c r="I72" s="50">
        <v>0</v>
      </c>
      <c r="J72" s="157">
        <f>3037801.66*2</f>
        <v>6075603.3200000003</v>
      </c>
      <c r="K72" s="49">
        <f>ROUND(703.74*G72,2)-O72</f>
        <v>2650154.2000000002</v>
      </c>
      <c r="L72" s="49">
        <v>0</v>
      </c>
      <c r="M72" s="50">
        <v>0</v>
      </c>
      <c r="N72" s="50">
        <v>0</v>
      </c>
      <c r="O72" s="188">
        <v>71419.5</v>
      </c>
      <c r="P72" s="50">
        <v>0</v>
      </c>
      <c r="Q72" s="50">
        <v>0</v>
      </c>
      <c r="R72" s="50">
        <v>0</v>
      </c>
      <c r="S72" s="94">
        <f>H72</f>
        <v>8797177.0199999996</v>
      </c>
      <c r="T72" s="66">
        <v>2017</v>
      </c>
      <c r="U72" s="66">
        <v>2017</v>
      </c>
      <c r="V72" s="152" t="s">
        <v>144</v>
      </c>
      <c r="W72" s="153">
        <v>9</v>
      </c>
      <c r="X72" s="154" t="s">
        <v>155</v>
      </c>
    </row>
    <row r="73" spans="1:24" s="24" customFormat="1" ht="15.75" customHeight="1">
      <c r="A73" s="66">
        <f t="shared" si="8"/>
        <v>49</v>
      </c>
      <c r="B73" s="35" t="s">
        <v>160</v>
      </c>
      <c r="C73" s="37" t="s">
        <v>80</v>
      </c>
      <c r="D73" s="37"/>
      <c r="E73" s="214"/>
      <c r="F73" s="94">
        <v>1552.9</v>
      </c>
      <c r="G73" s="151">
        <v>1396.3</v>
      </c>
      <c r="H73" s="50">
        <f>I73+J73+K73+L73+M73+N73+O73</f>
        <v>533191.12</v>
      </c>
      <c r="I73" s="50">
        <f>ROUND(381.86*G73,2)-O73</f>
        <v>501199.65</v>
      </c>
      <c r="J73" s="50">
        <v>0</v>
      </c>
      <c r="K73" s="50">
        <v>0</v>
      </c>
      <c r="L73" s="50">
        <v>0</v>
      </c>
      <c r="M73" s="50">
        <v>0</v>
      </c>
      <c r="N73" s="50">
        <v>0</v>
      </c>
      <c r="O73" s="188">
        <v>31991.47</v>
      </c>
      <c r="P73" s="50">
        <v>0</v>
      </c>
      <c r="Q73" s="50">
        <v>0</v>
      </c>
      <c r="R73" s="50">
        <v>0</v>
      </c>
      <c r="S73" s="94">
        <f>H73</f>
        <v>533191.12</v>
      </c>
      <c r="T73" s="66">
        <v>2017</v>
      </c>
      <c r="U73" s="66">
        <v>2017</v>
      </c>
      <c r="V73" s="152" t="s">
        <v>145</v>
      </c>
      <c r="W73" s="153">
        <v>3</v>
      </c>
      <c r="X73" s="154" t="s">
        <v>155</v>
      </c>
    </row>
    <row r="74" spans="1:24" s="24" customFormat="1" ht="15.75" customHeight="1">
      <c r="A74" s="66">
        <f t="shared" si="8"/>
        <v>50</v>
      </c>
      <c r="B74" s="35" t="s">
        <v>244</v>
      </c>
      <c r="C74" s="47" t="s">
        <v>54</v>
      </c>
      <c r="D74" s="47"/>
      <c r="E74" s="195"/>
      <c r="F74" s="94">
        <v>4169</v>
      </c>
      <c r="G74" s="151">
        <v>3839.3</v>
      </c>
      <c r="H74" s="50">
        <f>I74+J74+K74+L74+M74+N74+O74</f>
        <v>5711080.2999999998</v>
      </c>
      <c r="I74" s="50">
        <v>0</v>
      </c>
      <c r="J74" s="157">
        <f>2855540.15*2</f>
        <v>5711080.2999999998</v>
      </c>
      <c r="K74" s="50">
        <v>0</v>
      </c>
      <c r="L74" s="49">
        <v>0</v>
      </c>
      <c r="M74" s="50">
        <v>0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94">
        <f>H74</f>
        <v>5711080.2999999998</v>
      </c>
      <c r="T74" s="66">
        <v>2017</v>
      </c>
      <c r="U74" s="66">
        <v>2017</v>
      </c>
      <c r="V74" s="152" t="s">
        <v>145</v>
      </c>
      <c r="W74" s="153">
        <v>9</v>
      </c>
      <c r="X74" s="154" t="s">
        <v>155</v>
      </c>
    </row>
    <row r="75" spans="1:24" s="24" customFormat="1" ht="15.75" customHeight="1">
      <c r="A75" s="66">
        <f>A74+1</f>
        <v>51</v>
      </c>
      <c r="B75" s="35" t="s">
        <v>212</v>
      </c>
      <c r="C75" s="47" t="s">
        <v>454</v>
      </c>
      <c r="D75" s="47"/>
      <c r="E75" s="195"/>
      <c r="F75" s="94">
        <v>5762</v>
      </c>
      <c r="G75" s="151">
        <v>5742.7</v>
      </c>
      <c r="H75" s="50">
        <f>I75+J75+K75+L75+M75+N75+O75</f>
        <v>1536861.37</v>
      </c>
      <c r="I75" s="50">
        <f>ROUND(267.62*G75,2)-O75</f>
        <v>1454211.81</v>
      </c>
      <c r="J75" s="50">
        <v>0</v>
      </c>
      <c r="K75" s="50">
        <v>0</v>
      </c>
      <c r="L75" s="49">
        <v>0</v>
      </c>
      <c r="M75" s="50">
        <v>0</v>
      </c>
      <c r="N75" s="50">
        <v>0</v>
      </c>
      <c r="O75" s="188">
        <v>82649.56</v>
      </c>
      <c r="P75" s="50">
        <v>0</v>
      </c>
      <c r="Q75" s="50">
        <v>0</v>
      </c>
      <c r="R75" s="50">
        <v>0</v>
      </c>
      <c r="S75" s="94">
        <f>H75</f>
        <v>1536861.37</v>
      </c>
      <c r="T75" s="66">
        <v>2017</v>
      </c>
      <c r="U75" s="66">
        <v>2017</v>
      </c>
      <c r="V75" s="152" t="s">
        <v>144</v>
      </c>
      <c r="W75" s="153">
        <v>5</v>
      </c>
      <c r="X75" s="154" t="s">
        <v>155</v>
      </c>
    </row>
    <row r="76" spans="1:24" s="24" customFormat="1" ht="15.75" customHeight="1">
      <c r="A76" s="66">
        <f>A75+1</f>
        <v>52</v>
      </c>
      <c r="B76" s="35" t="s">
        <v>485</v>
      </c>
      <c r="C76" s="250">
        <v>1974</v>
      </c>
      <c r="D76" s="47"/>
      <c r="E76" s="212"/>
      <c r="F76" s="251">
        <v>6692.1</v>
      </c>
      <c r="G76" s="251">
        <v>5663.6</v>
      </c>
      <c r="H76" s="50">
        <f>I76+J76+K76+L76+M76+N76+O76</f>
        <v>3398386.54</v>
      </c>
      <c r="I76" s="50">
        <f>ROUND((214.38+385.66)*G76,2)-O76</f>
        <v>3194483.35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v>203903.19</v>
      </c>
      <c r="P76" s="50">
        <v>0</v>
      </c>
      <c r="Q76" s="50">
        <v>0</v>
      </c>
      <c r="R76" s="50">
        <v>0</v>
      </c>
      <c r="S76" s="94">
        <f>H76</f>
        <v>3398386.54</v>
      </c>
      <c r="T76" s="66">
        <v>2017</v>
      </c>
      <c r="U76" s="66">
        <v>2017</v>
      </c>
      <c r="V76" s="152" t="s">
        <v>144</v>
      </c>
      <c r="W76" s="153">
        <v>5</v>
      </c>
      <c r="X76" s="154" t="s">
        <v>155</v>
      </c>
    </row>
    <row r="77" spans="1:24" s="24" customFormat="1" ht="15.75" customHeight="1">
      <c r="A77" s="66">
        <f>A76+1</f>
        <v>53</v>
      </c>
      <c r="B77" s="35" t="s">
        <v>486</v>
      </c>
      <c r="C77" s="250">
        <v>1965</v>
      </c>
      <c r="D77" s="47"/>
      <c r="E77" s="212"/>
      <c r="F77" s="251">
        <v>3254.4</v>
      </c>
      <c r="G77" s="251">
        <v>2056.6</v>
      </c>
      <c r="H77" s="50">
        <f>I77+J77+K77+L77+M77+N77+O77</f>
        <v>2172078.09</v>
      </c>
      <c r="I77" s="50">
        <v>0</v>
      </c>
      <c r="J77" s="50">
        <v>0</v>
      </c>
      <c r="K77" s="49">
        <f>ROUND(1056.15*G77,2)-O77</f>
        <v>2079803.2699999998</v>
      </c>
      <c r="L77" s="50">
        <v>0</v>
      </c>
      <c r="M77" s="50">
        <v>0</v>
      </c>
      <c r="N77" s="50">
        <v>0</v>
      </c>
      <c r="O77" s="50">
        <v>92274.82</v>
      </c>
      <c r="P77" s="50">
        <v>0</v>
      </c>
      <c r="Q77" s="50">
        <v>0</v>
      </c>
      <c r="R77" s="50">
        <v>0</v>
      </c>
      <c r="S77" s="94">
        <f>H77</f>
        <v>2172078.09</v>
      </c>
      <c r="T77" s="66">
        <v>2017</v>
      </c>
      <c r="U77" s="66">
        <v>2017</v>
      </c>
      <c r="V77" s="152" t="s">
        <v>145</v>
      </c>
      <c r="W77" s="153">
        <v>5</v>
      </c>
      <c r="X77" s="154" t="s">
        <v>155</v>
      </c>
    </row>
    <row r="78" spans="1:24" s="24" customFormat="1" ht="15.75" customHeight="1">
      <c r="A78" s="66">
        <f>A77+1</f>
        <v>54</v>
      </c>
      <c r="B78" s="35" t="s">
        <v>166</v>
      </c>
      <c r="C78" s="37" t="s">
        <v>93</v>
      </c>
      <c r="D78" s="37"/>
      <c r="E78" s="214"/>
      <c r="F78" s="94">
        <v>3184</v>
      </c>
      <c r="G78" s="151">
        <v>2389</v>
      </c>
      <c r="H78" s="50">
        <f>I78+J78+K78+L78+M78+N78+O78</f>
        <v>912263.54</v>
      </c>
      <c r="I78" s="50">
        <f>ROUND(381.86*G78,2)-O78</f>
        <v>857527.73</v>
      </c>
      <c r="J78" s="50">
        <v>0</v>
      </c>
      <c r="K78" s="50">
        <v>0</v>
      </c>
      <c r="L78" s="50">
        <v>0</v>
      </c>
      <c r="M78" s="50">
        <v>0</v>
      </c>
      <c r="N78" s="50">
        <v>0</v>
      </c>
      <c r="O78" s="50">
        <v>54735.81</v>
      </c>
      <c r="P78" s="50">
        <v>0</v>
      </c>
      <c r="Q78" s="50">
        <v>0</v>
      </c>
      <c r="R78" s="50">
        <v>0</v>
      </c>
      <c r="S78" s="94">
        <f>H78</f>
        <v>912263.54</v>
      </c>
      <c r="T78" s="66">
        <v>2017</v>
      </c>
      <c r="U78" s="66">
        <v>2017</v>
      </c>
      <c r="V78" s="152" t="s">
        <v>145</v>
      </c>
      <c r="W78" s="153">
        <v>5</v>
      </c>
      <c r="X78" s="154" t="s">
        <v>155</v>
      </c>
    </row>
    <row r="79" spans="1:24" s="24" customFormat="1" ht="15.75" customHeight="1">
      <c r="A79" s="66">
        <f t="shared" si="8"/>
        <v>55</v>
      </c>
      <c r="B79" s="35" t="s">
        <v>121</v>
      </c>
      <c r="C79" s="47" t="s">
        <v>56</v>
      </c>
      <c r="D79" s="47" t="s">
        <v>469</v>
      </c>
      <c r="E79" s="195"/>
      <c r="F79" s="94">
        <v>9040.7999999999993</v>
      </c>
      <c r="G79" s="151">
        <v>6313.3</v>
      </c>
      <c r="H79" s="50">
        <f>I79+J79+K79+L79+M79+N79+O79</f>
        <v>5711080.2999999998</v>
      </c>
      <c r="I79" s="50">
        <v>0</v>
      </c>
      <c r="J79" s="157">
        <f>ROUND(2855540.15*2,2)</f>
        <v>5711080.2999999998</v>
      </c>
      <c r="K79" s="50">
        <v>0</v>
      </c>
      <c r="L79" s="49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94">
        <f>H79</f>
        <v>5711080.2999999998</v>
      </c>
      <c r="T79" s="66">
        <v>2017</v>
      </c>
      <c r="U79" s="66">
        <v>2017</v>
      </c>
      <c r="V79" s="152" t="s">
        <v>145</v>
      </c>
      <c r="W79" s="153">
        <v>7</v>
      </c>
      <c r="X79" s="154" t="s">
        <v>156</v>
      </c>
    </row>
    <row r="80" spans="1:24" s="24" customFormat="1" ht="15.75" customHeight="1">
      <c r="A80" s="66">
        <f t="shared" si="8"/>
        <v>56</v>
      </c>
      <c r="B80" s="35" t="s">
        <v>507</v>
      </c>
      <c r="C80" s="37" t="s">
        <v>70</v>
      </c>
      <c r="D80" s="47" t="s">
        <v>469</v>
      </c>
      <c r="E80" s="195"/>
      <c r="F80" s="94">
        <v>9119.2000000000007</v>
      </c>
      <c r="G80" s="151">
        <v>6550</v>
      </c>
      <c r="H80" s="50">
        <f>I80+J80+K80+L80+M80+N80+O80</f>
        <v>5675575</v>
      </c>
      <c r="I80" s="50">
        <f>ROUND((191.67+381.86+292.97)*G80,2)-O80</f>
        <v>5424895.1600000001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250679.84</v>
      </c>
      <c r="P80" s="50">
        <v>0</v>
      </c>
      <c r="Q80" s="50">
        <v>0</v>
      </c>
      <c r="R80" s="50">
        <v>0</v>
      </c>
      <c r="S80" s="94">
        <f>H80</f>
        <v>5675575</v>
      </c>
      <c r="T80" s="66">
        <v>2017</v>
      </c>
      <c r="U80" s="66">
        <v>2017</v>
      </c>
      <c r="V80" s="152" t="s">
        <v>145</v>
      </c>
      <c r="W80" s="153">
        <v>6</v>
      </c>
      <c r="X80" s="154" t="s">
        <v>156</v>
      </c>
    </row>
    <row r="81" spans="1:24" s="24" customFormat="1" ht="15.75" customHeight="1">
      <c r="A81" s="66">
        <f t="shared" si="8"/>
        <v>57</v>
      </c>
      <c r="B81" s="35" t="s">
        <v>105</v>
      </c>
      <c r="C81" s="47">
        <v>1938</v>
      </c>
      <c r="D81" s="47" t="s">
        <v>469</v>
      </c>
      <c r="E81" s="195"/>
      <c r="F81" s="200">
        <v>9703.7000000000007</v>
      </c>
      <c r="G81" s="201">
        <v>7774.5</v>
      </c>
      <c r="H81" s="50">
        <f>I81+J81+K81+L81+M81+N81+O81</f>
        <v>2587586.84</v>
      </c>
      <c r="I81" s="50">
        <f>ROUND(332.83*G81,2)-O81</f>
        <v>2519190.5</v>
      </c>
      <c r="J81" s="50">
        <v>0</v>
      </c>
      <c r="K81" s="50">
        <v>0</v>
      </c>
      <c r="L81" s="49">
        <v>0</v>
      </c>
      <c r="M81" s="50">
        <v>0</v>
      </c>
      <c r="N81" s="50">
        <v>0</v>
      </c>
      <c r="O81" s="50">
        <v>68396.34</v>
      </c>
      <c r="P81" s="50">
        <v>0</v>
      </c>
      <c r="Q81" s="50">
        <v>0</v>
      </c>
      <c r="R81" s="50">
        <v>0</v>
      </c>
      <c r="S81" s="94">
        <f>H81</f>
        <v>2587586.84</v>
      </c>
      <c r="T81" s="66">
        <v>2017</v>
      </c>
      <c r="U81" s="66">
        <v>2017</v>
      </c>
      <c r="V81" s="202" t="s">
        <v>145</v>
      </c>
      <c r="W81" s="203">
        <v>7</v>
      </c>
      <c r="X81" s="204" t="s">
        <v>156</v>
      </c>
    </row>
    <row r="82" spans="1:24" s="24" customFormat="1" ht="15.75" customHeight="1">
      <c r="A82" s="66">
        <f t="shared" si="8"/>
        <v>58</v>
      </c>
      <c r="B82" s="35" t="s">
        <v>478</v>
      </c>
      <c r="C82" s="250">
        <v>1938</v>
      </c>
      <c r="D82" s="11"/>
      <c r="E82" s="11"/>
      <c r="F82" s="251">
        <v>11111.8</v>
      </c>
      <c r="G82" s="251">
        <v>7384.7</v>
      </c>
      <c r="H82" s="50">
        <f>I82+J82+K82+L82+M82+N82+O82</f>
        <v>5711080.2999999998</v>
      </c>
      <c r="I82" s="50">
        <v>0</v>
      </c>
      <c r="J82" s="157">
        <f>ROUND(2855540.15*2,2)</f>
        <v>5711080.2999999998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94">
        <f>H82</f>
        <v>5711080.2999999998</v>
      </c>
      <c r="T82" s="66">
        <v>2017</v>
      </c>
      <c r="U82" s="66">
        <v>2017</v>
      </c>
      <c r="V82" s="152" t="s">
        <v>145</v>
      </c>
      <c r="W82" s="153">
        <v>8</v>
      </c>
      <c r="X82" s="154" t="s">
        <v>156</v>
      </c>
    </row>
    <row r="83" spans="1:24" s="24" customFormat="1" ht="15.75" customHeight="1">
      <c r="A83" s="66">
        <f t="shared" si="8"/>
        <v>59</v>
      </c>
      <c r="B83" s="35" t="s">
        <v>120</v>
      </c>
      <c r="C83" s="37" t="s">
        <v>57</v>
      </c>
      <c r="D83" s="47" t="s">
        <v>469</v>
      </c>
      <c r="E83" s="195"/>
      <c r="F83" s="94">
        <v>2419.1</v>
      </c>
      <c r="G83" s="151">
        <v>1553.4</v>
      </c>
      <c r="H83" s="50">
        <f>I83+J83+K83+L83+M83+N83+O83</f>
        <v>4329170.46</v>
      </c>
      <c r="I83" s="50">
        <v>0</v>
      </c>
      <c r="J83" s="50">
        <v>0</v>
      </c>
      <c r="K83" s="50">
        <v>0</v>
      </c>
      <c r="L83" s="50">
        <v>0</v>
      </c>
      <c r="M83" s="50">
        <f>ROUND(2786.9*G83,2)-O83</f>
        <v>3588453.78</v>
      </c>
      <c r="N83" s="50">
        <v>0</v>
      </c>
      <c r="O83" s="50">
        <v>740716.68</v>
      </c>
      <c r="P83" s="50">
        <v>0</v>
      </c>
      <c r="Q83" s="50">
        <v>0</v>
      </c>
      <c r="R83" s="50">
        <v>0</v>
      </c>
      <c r="S83" s="94">
        <f>H83</f>
        <v>4329170.46</v>
      </c>
      <c r="T83" s="66">
        <v>2017</v>
      </c>
      <c r="U83" s="66">
        <v>2017</v>
      </c>
      <c r="V83" s="152" t="s">
        <v>145</v>
      </c>
      <c r="W83" s="153">
        <v>4</v>
      </c>
      <c r="X83" s="154" t="s">
        <v>156</v>
      </c>
    </row>
    <row r="84" spans="1:24" s="24" customFormat="1" ht="15.75" customHeight="1">
      <c r="A84" s="66">
        <f t="shared" si="8"/>
        <v>60</v>
      </c>
      <c r="B84" s="35" t="s">
        <v>225</v>
      </c>
      <c r="C84" s="47" t="s">
        <v>94</v>
      </c>
      <c r="D84" s="47"/>
      <c r="E84" s="195"/>
      <c r="F84" s="94">
        <v>3952.3</v>
      </c>
      <c r="G84" s="158">
        <v>3917.41</v>
      </c>
      <c r="H84" s="50">
        <f>I84+J84+K84+L84+M84+N84+O84</f>
        <v>2756838.11</v>
      </c>
      <c r="I84" s="50">
        <v>0</v>
      </c>
      <c r="J84" s="50">
        <v>0</v>
      </c>
      <c r="K84" s="49">
        <f>ROUND(703.74*G84,2)-O84</f>
        <v>2685497.67</v>
      </c>
      <c r="L84" s="49">
        <v>0</v>
      </c>
      <c r="M84" s="50">
        <v>0</v>
      </c>
      <c r="N84" s="50">
        <v>0</v>
      </c>
      <c r="O84" s="50">
        <v>71340.44</v>
      </c>
      <c r="P84" s="50">
        <v>0</v>
      </c>
      <c r="Q84" s="50">
        <v>0</v>
      </c>
      <c r="R84" s="50">
        <v>0</v>
      </c>
      <c r="S84" s="94">
        <f>H84</f>
        <v>2756838.11</v>
      </c>
      <c r="T84" s="66">
        <v>2017</v>
      </c>
      <c r="U84" s="66">
        <v>2017</v>
      </c>
      <c r="V84" s="152" t="s">
        <v>144</v>
      </c>
      <c r="W84" s="153">
        <v>9</v>
      </c>
      <c r="X84" s="154" t="s">
        <v>155</v>
      </c>
    </row>
    <row r="85" spans="1:24" s="24" customFormat="1" ht="15.75" customHeight="1">
      <c r="A85" s="66">
        <f t="shared" si="8"/>
        <v>61</v>
      </c>
      <c r="B85" s="35" t="s">
        <v>221</v>
      </c>
      <c r="C85" s="47" t="s">
        <v>98</v>
      </c>
      <c r="D85" s="47"/>
      <c r="E85" s="195"/>
      <c r="F85" s="94">
        <v>19088.400000000001</v>
      </c>
      <c r="G85" s="151">
        <v>16427.7</v>
      </c>
      <c r="H85" s="50">
        <f>I85+J85+K85+L85+M85+N85+O85</f>
        <v>6582743.6699999999</v>
      </c>
      <c r="I85" s="50">
        <f>ROUND(400.71*G85,2)-O85</f>
        <v>6187779.0499999998</v>
      </c>
      <c r="J85" s="50">
        <v>0</v>
      </c>
      <c r="K85" s="50">
        <v>0</v>
      </c>
      <c r="L85" s="49">
        <v>0</v>
      </c>
      <c r="M85" s="50">
        <v>0</v>
      </c>
      <c r="N85" s="50">
        <v>0</v>
      </c>
      <c r="O85" s="50">
        <v>394964.62</v>
      </c>
      <c r="P85" s="50">
        <v>0</v>
      </c>
      <c r="Q85" s="50">
        <v>0</v>
      </c>
      <c r="R85" s="50">
        <v>0</v>
      </c>
      <c r="S85" s="94">
        <f>H85</f>
        <v>6582743.6699999999</v>
      </c>
      <c r="T85" s="66">
        <v>2017</v>
      </c>
      <c r="U85" s="66">
        <v>2017</v>
      </c>
      <c r="V85" s="152" t="s">
        <v>144</v>
      </c>
      <c r="W85" s="153">
        <v>9</v>
      </c>
      <c r="X85" s="154" t="s">
        <v>155</v>
      </c>
    </row>
    <row r="86" spans="1:24" s="24" customFormat="1" ht="15.75" customHeight="1">
      <c r="A86" s="66">
        <f t="shared" si="8"/>
        <v>62</v>
      </c>
      <c r="B86" s="35" t="s">
        <v>171</v>
      </c>
      <c r="C86" s="37" t="s">
        <v>114</v>
      </c>
      <c r="D86" s="37"/>
      <c r="E86" s="214"/>
      <c r="F86" s="94">
        <v>5721.3</v>
      </c>
      <c r="G86" s="151">
        <v>5657.7</v>
      </c>
      <c r="H86" s="50">
        <f>I86+J86+K86+L86+M86+N86+O86</f>
        <v>2663305.7000000002</v>
      </c>
      <c r="I86" s="50">
        <f>ROUND(470.74*G86,2)-O86</f>
        <v>2503507.3600000003</v>
      </c>
      <c r="J86" s="50">
        <v>0</v>
      </c>
      <c r="K86" s="50">
        <v>0</v>
      </c>
      <c r="L86" s="50">
        <v>0</v>
      </c>
      <c r="M86" s="50">
        <v>0</v>
      </c>
      <c r="N86" s="50">
        <v>0</v>
      </c>
      <c r="O86" s="50">
        <v>159798.34</v>
      </c>
      <c r="P86" s="50">
        <v>0</v>
      </c>
      <c r="Q86" s="50">
        <v>0</v>
      </c>
      <c r="R86" s="50">
        <v>0</v>
      </c>
      <c r="S86" s="94">
        <f>H86</f>
        <v>2663305.7000000002</v>
      </c>
      <c r="T86" s="66">
        <v>2017</v>
      </c>
      <c r="U86" s="66">
        <v>2017</v>
      </c>
      <c r="V86" s="152" t="s">
        <v>145</v>
      </c>
      <c r="W86" s="153">
        <v>9</v>
      </c>
      <c r="X86" s="154" t="s">
        <v>155</v>
      </c>
    </row>
    <row r="87" spans="1:24" s="24" customFormat="1" ht="16.899999999999999" customHeight="1">
      <c r="A87" s="66">
        <f t="shared" si="8"/>
        <v>63</v>
      </c>
      <c r="B87" s="35" t="s">
        <v>245</v>
      </c>
      <c r="C87" s="47" t="s">
        <v>21</v>
      </c>
      <c r="D87" s="47"/>
      <c r="E87" s="195"/>
      <c r="F87" s="94">
        <v>4095.6</v>
      </c>
      <c r="G87" s="151">
        <v>3815.7</v>
      </c>
      <c r="H87" s="50">
        <f>I87+J87+K87+L87+M87+N87+O87</f>
        <v>1528989.15</v>
      </c>
      <c r="I87" s="50">
        <f>ROUND(400.71*G87,2)-O87</f>
        <v>1437249.7999999998</v>
      </c>
      <c r="J87" s="50">
        <v>0</v>
      </c>
      <c r="K87" s="50">
        <v>0</v>
      </c>
      <c r="L87" s="49">
        <v>0</v>
      </c>
      <c r="M87" s="50">
        <v>0</v>
      </c>
      <c r="N87" s="50">
        <v>0</v>
      </c>
      <c r="O87" s="50">
        <v>91739.35</v>
      </c>
      <c r="P87" s="50">
        <v>0</v>
      </c>
      <c r="Q87" s="50">
        <v>0</v>
      </c>
      <c r="R87" s="50">
        <v>0</v>
      </c>
      <c r="S87" s="94">
        <f>H87</f>
        <v>1528989.15</v>
      </c>
      <c r="T87" s="66">
        <v>2017</v>
      </c>
      <c r="U87" s="66">
        <v>2017</v>
      </c>
      <c r="V87" s="152" t="s">
        <v>144</v>
      </c>
      <c r="W87" s="153">
        <v>9</v>
      </c>
      <c r="X87" s="154" t="s">
        <v>155</v>
      </c>
    </row>
    <row r="88" spans="1:24" s="24" customFormat="1" ht="15.75" customHeight="1">
      <c r="A88" s="66">
        <f t="shared" si="8"/>
        <v>64</v>
      </c>
      <c r="B88" s="35" t="s">
        <v>219</v>
      </c>
      <c r="C88" s="47" t="s">
        <v>55</v>
      </c>
      <c r="D88" s="47"/>
      <c r="E88" s="195"/>
      <c r="F88" s="94">
        <v>3584.3</v>
      </c>
      <c r="G88" s="151">
        <v>3514</v>
      </c>
      <c r="H88" s="50">
        <f>I88+J88+K88+L88+M88+N88+O88</f>
        <v>940416.68</v>
      </c>
      <c r="I88" s="50">
        <f>ROUND(267.62*G88,2)-O88</f>
        <v>889312.06</v>
      </c>
      <c r="J88" s="50">
        <v>0</v>
      </c>
      <c r="K88" s="50">
        <v>0</v>
      </c>
      <c r="L88" s="49">
        <v>0</v>
      </c>
      <c r="M88" s="50">
        <v>0</v>
      </c>
      <c r="N88" s="50">
        <v>0</v>
      </c>
      <c r="O88" s="50">
        <v>51104.62</v>
      </c>
      <c r="P88" s="50">
        <v>0</v>
      </c>
      <c r="Q88" s="50">
        <v>0</v>
      </c>
      <c r="R88" s="50">
        <v>0</v>
      </c>
      <c r="S88" s="94">
        <f>H88</f>
        <v>940416.68</v>
      </c>
      <c r="T88" s="66">
        <v>2017</v>
      </c>
      <c r="U88" s="66">
        <v>2017</v>
      </c>
      <c r="V88" s="152" t="s">
        <v>144</v>
      </c>
      <c r="W88" s="153">
        <v>5</v>
      </c>
      <c r="X88" s="154" t="s">
        <v>156</v>
      </c>
    </row>
    <row r="89" spans="1:24" s="24" customFormat="1" ht="15.75" customHeight="1">
      <c r="A89" s="66">
        <f t="shared" si="8"/>
        <v>65</v>
      </c>
      <c r="B89" s="35" t="s">
        <v>233</v>
      </c>
      <c r="C89" s="47" t="s">
        <v>455</v>
      </c>
      <c r="D89" s="47"/>
      <c r="E89" s="195"/>
      <c r="F89" s="94">
        <v>3323.1</v>
      </c>
      <c r="G89" s="151">
        <v>3289.2</v>
      </c>
      <c r="H89" s="50">
        <f>I89+J89+K89+L89+M89+N89+O89</f>
        <v>1268512.8700000001</v>
      </c>
      <c r="I89" s="50">
        <f>ROUND(385.66*G89,2)-O89</f>
        <v>1192402.1000000001</v>
      </c>
      <c r="J89" s="50">
        <v>0</v>
      </c>
      <c r="K89" s="50">
        <v>0</v>
      </c>
      <c r="L89" s="49">
        <v>0</v>
      </c>
      <c r="M89" s="50">
        <v>0</v>
      </c>
      <c r="N89" s="50">
        <v>0</v>
      </c>
      <c r="O89" s="50">
        <v>76110.77</v>
      </c>
      <c r="P89" s="50">
        <v>0</v>
      </c>
      <c r="Q89" s="50">
        <v>0</v>
      </c>
      <c r="R89" s="50">
        <v>0</v>
      </c>
      <c r="S89" s="94">
        <f>H89</f>
        <v>1268512.8700000001</v>
      </c>
      <c r="T89" s="66">
        <v>2017</v>
      </c>
      <c r="U89" s="66">
        <v>2017</v>
      </c>
      <c r="V89" s="152" t="s">
        <v>144</v>
      </c>
      <c r="W89" s="153">
        <v>5</v>
      </c>
      <c r="X89" s="154" t="s">
        <v>155</v>
      </c>
    </row>
    <row r="90" spans="1:24" s="24" customFormat="1" ht="15.75" customHeight="1">
      <c r="A90" s="66">
        <f t="shared" si="8"/>
        <v>66</v>
      </c>
      <c r="B90" s="35" t="s">
        <v>158</v>
      </c>
      <c r="C90" s="47" t="s">
        <v>73</v>
      </c>
      <c r="D90" s="47"/>
      <c r="E90" s="195"/>
      <c r="F90" s="94">
        <v>5695.1</v>
      </c>
      <c r="G90" s="151">
        <v>3988.9</v>
      </c>
      <c r="H90" s="50">
        <f>I90+J90+K90+L90+M90+N90+O90</f>
        <v>11845836.33</v>
      </c>
      <c r="I90" s="50">
        <v>0</v>
      </c>
      <c r="J90" s="50">
        <v>0</v>
      </c>
      <c r="K90" s="49">
        <f>ROUND(1824.94*G90,2)-161474.92</f>
        <v>7118028.25</v>
      </c>
      <c r="L90" s="50">
        <v>0</v>
      </c>
      <c r="M90" s="49">
        <f>ROUND(1144.76*G90,2)-101291.02</f>
        <v>4465042.1400000006</v>
      </c>
      <c r="N90" s="50">
        <v>0</v>
      </c>
      <c r="O90" s="50">
        <v>262765.94</v>
      </c>
      <c r="P90" s="50">
        <v>0</v>
      </c>
      <c r="Q90" s="50">
        <v>0</v>
      </c>
      <c r="R90" s="50">
        <v>0</v>
      </c>
      <c r="S90" s="94">
        <f>H90</f>
        <v>11845836.33</v>
      </c>
      <c r="T90" s="66">
        <v>2017</v>
      </c>
      <c r="U90" s="66">
        <v>2017</v>
      </c>
      <c r="V90" s="152" t="s">
        <v>145</v>
      </c>
      <c r="W90" s="153">
        <v>5</v>
      </c>
      <c r="X90" s="154" t="s">
        <v>156</v>
      </c>
    </row>
    <row r="91" spans="1:24" s="24" customFormat="1" ht="15.75" customHeight="1">
      <c r="A91" s="66">
        <f t="shared" si="8"/>
        <v>67</v>
      </c>
      <c r="B91" s="35" t="s">
        <v>168</v>
      </c>
      <c r="C91" s="37" t="s">
        <v>115</v>
      </c>
      <c r="D91" s="37"/>
      <c r="E91" s="214"/>
      <c r="F91" s="94">
        <v>1361.5</v>
      </c>
      <c r="G91" s="151">
        <v>1235.5</v>
      </c>
      <c r="H91" s="50">
        <f>I91+J91+K91+L91+M91+N91+O91</f>
        <v>957500.15</v>
      </c>
      <c r="I91" s="50">
        <f>ROUND((191.67+290.35+292.97)*G91,2)-O91</f>
        <v>903901.01</v>
      </c>
      <c r="J91" s="50">
        <v>0</v>
      </c>
      <c r="K91" s="50">
        <v>0</v>
      </c>
      <c r="L91" s="50">
        <v>0</v>
      </c>
      <c r="M91" s="50">
        <v>0</v>
      </c>
      <c r="N91" s="50">
        <v>0</v>
      </c>
      <c r="O91" s="50">
        <v>53599.14</v>
      </c>
      <c r="P91" s="50">
        <v>0</v>
      </c>
      <c r="Q91" s="50">
        <v>0</v>
      </c>
      <c r="R91" s="50">
        <v>0</v>
      </c>
      <c r="S91" s="94">
        <f>H91</f>
        <v>957500.15</v>
      </c>
      <c r="T91" s="66">
        <v>2017</v>
      </c>
      <c r="U91" s="66">
        <v>2017</v>
      </c>
      <c r="V91" s="152" t="s">
        <v>145</v>
      </c>
      <c r="W91" s="153">
        <v>4</v>
      </c>
      <c r="X91" s="154" t="s">
        <v>156</v>
      </c>
    </row>
    <row r="92" spans="1:24" s="24" customFormat="1" ht="15.75" customHeight="1">
      <c r="A92" s="66">
        <f t="shared" si="8"/>
        <v>68</v>
      </c>
      <c r="B92" s="35" t="s">
        <v>125</v>
      </c>
      <c r="C92" s="47" t="s">
        <v>94</v>
      </c>
      <c r="D92" s="47"/>
      <c r="E92" s="195"/>
      <c r="F92" s="94">
        <v>5839.2</v>
      </c>
      <c r="G92" s="151">
        <v>5757.5</v>
      </c>
      <c r="H92" s="50">
        <f>I92+J92+K92+L92+M92+N92+O92</f>
        <v>6174630.8799999999</v>
      </c>
      <c r="I92" s="50">
        <v>0</v>
      </c>
      <c r="J92" s="50">
        <v>0</v>
      </c>
      <c r="K92" s="38">
        <f>ROUND(1072.45*G92,2)-O92</f>
        <v>6036439.8999999994</v>
      </c>
      <c r="L92" s="49">
        <v>0</v>
      </c>
      <c r="M92" s="50">
        <v>0</v>
      </c>
      <c r="N92" s="50">
        <v>0</v>
      </c>
      <c r="O92" s="50">
        <v>138190.98000000001</v>
      </c>
      <c r="P92" s="50">
        <v>0</v>
      </c>
      <c r="Q92" s="50">
        <v>0</v>
      </c>
      <c r="R92" s="50">
        <v>0</v>
      </c>
      <c r="S92" s="94">
        <f>H92</f>
        <v>6174630.8799999999</v>
      </c>
      <c r="T92" s="66">
        <v>2017</v>
      </c>
      <c r="U92" s="66">
        <v>2017</v>
      </c>
      <c r="V92" s="152" t="s">
        <v>144</v>
      </c>
      <c r="W92" s="153">
        <v>5</v>
      </c>
      <c r="X92" s="154" t="s">
        <v>155</v>
      </c>
    </row>
    <row r="93" spans="1:24" s="24" customFormat="1" ht="15.75" customHeight="1">
      <c r="A93" s="66">
        <f t="shared" si="8"/>
        <v>69</v>
      </c>
      <c r="B93" s="35" t="s">
        <v>167</v>
      </c>
      <c r="C93" s="37" t="s">
        <v>453</v>
      </c>
      <c r="D93" s="37"/>
      <c r="E93" s="214"/>
      <c r="F93" s="94">
        <v>5604.9</v>
      </c>
      <c r="G93" s="151">
        <v>4633</v>
      </c>
      <c r="H93" s="50">
        <f>I93+J93+K93+L93+M93+N93+O93</f>
        <v>4893142.95</v>
      </c>
      <c r="I93" s="50">
        <v>0</v>
      </c>
      <c r="J93" s="50">
        <v>0</v>
      </c>
      <c r="K93" s="71">
        <f>ROUND(1056.15*G93,2)-O93</f>
        <v>4776189.6100000003</v>
      </c>
      <c r="L93" s="50">
        <v>0</v>
      </c>
      <c r="M93" s="50">
        <v>0</v>
      </c>
      <c r="N93" s="50">
        <v>0</v>
      </c>
      <c r="O93" s="50">
        <v>116953.34</v>
      </c>
      <c r="P93" s="50">
        <v>0</v>
      </c>
      <c r="Q93" s="50">
        <v>0</v>
      </c>
      <c r="R93" s="50">
        <v>0</v>
      </c>
      <c r="S93" s="94">
        <f>H93</f>
        <v>4893142.95</v>
      </c>
      <c r="T93" s="66">
        <v>2017</v>
      </c>
      <c r="U93" s="66">
        <v>2017</v>
      </c>
      <c r="V93" s="152" t="s">
        <v>145</v>
      </c>
      <c r="W93" s="153">
        <v>5</v>
      </c>
      <c r="X93" s="154" t="s">
        <v>155</v>
      </c>
    </row>
    <row r="94" spans="1:24" s="24" customFormat="1" ht="15.75" customHeight="1">
      <c r="A94" s="66">
        <f t="shared" si="8"/>
        <v>70</v>
      </c>
      <c r="B94" s="35" t="s">
        <v>217</v>
      </c>
      <c r="C94" s="47" t="s">
        <v>456</v>
      </c>
      <c r="D94" s="47"/>
      <c r="E94" s="195"/>
      <c r="F94" s="94">
        <v>3038.3</v>
      </c>
      <c r="G94" s="151">
        <v>2582</v>
      </c>
      <c r="H94" s="50">
        <f>I94+J94+K94+L94+M94+N94+O94</f>
        <v>2769065.9</v>
      </c>
      <c r="I94" s="50">
        <v>0</v>
      </c>
      <c r="J94" s="50">
        <v>0</v>
      </c>
      <c r="K94" s="38">
        <f>ROUND(1072.45*G94,2)-O94</f>
        <v>2690750.48</v>
      </c>
      <c r="L94" s="49">
        <v>0</v>
      </c>
      <c r="M94" s="50">
        <v>0</v>
      </c>
      <c r="N94" s="50">
        <v>0</v>
      </c>
      <c r="O94" s="50">
        <v>78315.42</v>
      </c>
      <c r="P94" s="50">
        <v>0</v>
      </c>
      <c r="Q94" s="50">
        <v>0</v>
      </c>
      <c r="R94" s="50">
        <v>0</v>
      </c>
      <c r="S94" s="94">
        <f>H94</f>
        <v>2769065.9</v>
      </c>
      <c r="T94" s="66">
        <v>2017</v>
      </c>
      <c r="U94" s="66">
        <v>2017</v>
      </c>
      <c r="V94" s="152" t="s">
        <v>144</v>
      </c>
      <c r="W94" s="153">
        <v>5</v>
      </c>
      <c r="X94" s="154" t="s">
        <v>155</v>
      </c>
    </row>
    <row r="95" spans="1:24" s="24" customFormat="1" ht="15.75" customHeight="1">
      <c r="A95" s="66">
        <f t="shared" si="8"/>
        <v>71</v>
      </c>
      <c r="B95" s="35" t="s">
        <v>218</v>
      </c>
      <c r="C95" s="47" t="s">
        <v>67</v>
      </c>
      <c r="D95" s="47"/>
      <c r="E95" s="195"/>
      <c r="F95" s="94">
        <v>3262.3</v>
      </c>
      <c r="G95" s="151">
        <v>3136.2</v>
      </c>
      <c r="H95" s="50">
        <f>I95+J95+K95+L95+M95+N95+O95</f>
        <v>4335639.6900000004</v>
      </c>
      <c r="I95" s="50">
        <f>ROUND((240.98+470.74)*G95,2)-96524.67</f>
        <v>2135571.59</v>
      </c>
      <c r="J95" s="50">
        <v>0</v>
      </c>
      <c r="K95" s="50">
        <f>ROUND(670.73*G95,2)-90965.53</f>
        <v>2012577.9000000001</v>
      </c>
      <c r="L95" s="49">
        <v>0</v>
      </c>
      <c r="M95" s="50">
        <v>0</v>
      </c>
      <c r="N95" s="50">
        <v>0</v>
      </c>
      <c r="O95" s="50">
        <v>187490.2</v>
      </c>
      <c r="P95" s="50">
        <v>0</v>
      </c>
      <c r="Q95" s="50">
        <v>0</v>
      </c>
      <c r="R95" s="50">
        <v>0</v>
      </c>
      <c r="S95" s="94">
        <f>H95</f>
        <v>4335639.6900000004</v>
      </c>
      <c r="T95" s="66">
        <v>2017</v>
      </c>
      <c r="U95" s="66">
        <v>2017</v>
      </c>
      <c r="V95" s="152" t="s">
        <v>145</v>
      </c>
      <c r="W95" s="153">
        <v>9</v>
      </c>
      <c r="X95" s="154" t="s">
        <v>155</v>
      </c>
    </row>
    <row r="96" spans="1:24" s="24" customFormat="1" ht="15.75" customHeight="1">
      <c r="A96" s="66">
        <f t="shared" si="8"/>
        <v>72</v>
      </c>
      <c r="B96" s="35" t="s">
        <v>157</v>
      </c>
      <c r="C96" s="37" t="s">
        <v>22</v>
      </c>
      <c r="D96" s="37"/>
      <c r="E96" s="214"/>
      <c r="F96" s="94">
        <v>5001.3</v>
      </c>
      <c r="G96" s="159">
        <v>3897.2</v>
      </c>
      <c r="H96" s="50">
        <f>I96+J96+K96+L96+M96+N96+O96</f>
        <v>4448536.8899999997</v>
      </c>
      <c r="I96" s="50">
        <f>ROUND(470.74*G96,2)-107814.76</f>
        <v>1726753.17</v>
      </c>
      <c r="J96" s="50">
        <v>0</v>
      </c>
      <c r="K96" s="50">
        <f>ROUND(670.73*G96,2)-153618.96</f>
        <v>2460350</v>
      </c>
      <c r="L96" s="50">
        <v>0</v>
      </c>
      <c r="M96" s="50">
        <v>0</v>
      </c>
      <c r="N96" s="50"/>
      <c r="O96" s="50">
        <v>261433.72</v>
      </c>
      <c r="P96" s="49">
        <v>0</v>
      </c>
      <c r="Q96" s="49">
        <v>0</v>
      </c>
      <c r="R96" s="49">
        <v>0</v>
      </c>
      <c r="S96" s="94">
        <f>H96</f>
        <v>4448536.8899999997</v>
      </c>
      <c r="T96" s="66">
        <v>2017</v>
      </c>
      <c r="U96" s="66">
        <v>2017</v>
      </c>
      <c r="V96" s="160" t="s">
        <v>145</v>
      </c>
      <c r="W96" s="161">
        <v>9</v>
      </c>
      <c r="X96" s="162" t="s">
        <v>155</v>
      </c>
    </row>
    <row r="97" spans="1:24" s="24" customFormat="1" ht="15.75" customHeight="1">
      <c r="A97" s="66">
        <f t="shared" si="8"/>
        <v>73</v>
      </c>
      <c r="B97" s="35" t="s">
        <v>223</v>
      </c>
      <c r="C97" s="47" t="s">
        <v>20</v>
      </c>
      <c r="D97" s="47"/>
      <c r="E97" s="195"/>
      <c r="F97" s="94">
        <v>4081.3</v>
      </c>
      <c r="G97" s="151">
        <v>4033.3</v>
      </c>
      <c r="H97" s="50">
        <f>I97+J97+K97+L97+M97+N97+O97</f>
        <v>2156242.5099999998</v>
      </c>
      <c r="I97" s="50">
        <f>ROUND((229.94+304.67)*G97,2)-O97</f>
        <v>2026867.9599999997</v>
      </c>
      <c r="J97" s="50">
        <v>0</v>
      </c>
      <c r="K97" s="50">
        <v>0</v>
      </c>
      <c r="L97" s="49">
        <v>0</v>
      </c>
      <c r="M97" s="50">
        <v>0</v>
      </c>
      <c r="N97" s="50">
        <v>0</v>
      </c>
      <c r="O97" s="50">
        <v>129374.55</v>
      </c>
      <c r="P97" s="50">
        <v>0</v>
      </c>
      <c r="Q97" s="50">
        <v>0</v>
      </c>
      <c r="R97" s="50">
        <v>0</v>
      </c>
      <c r="S97" s="94">
        <f>H97</f>
        <v>2156242.5099999998</v>
      </c>
      <c r="T97" s="66">
        <v>2017</v>
      </c>
      <c r="U97" s="66">
        <v>2017</v>
      </c>
      <c r="V97" s="152" t="s">
        <v>144</v>
      </c>
      <c r="W97" s="153">
        <v>9</v>
      </c>
      <c r="X97" s="154" t="s">
        <v>155</v>
      </c>
    </row>
    <row r="98" spans="1:24" s="24" customFormat="1" ht="15.75" customHeight="1">
      <c r="A98" s="66">
        <f t="shared" si="8"/>
        <v>74</v>
      </c>
      <c r="B98" s="35" t="s">
        <v>220</v>
      </c>
      <c r="C98" s="47" t="s">
        <v>63</v>
      </c>
      <c r="D98" s="47"/>
      <c r="E98" s="195"/>
      <c r="F98" s="94">
        <v>1593.6</v>
      </c>
      <c r="G98" s="151">
        <v>1453.6</v>
      </c>
      <c r="H98" s="50">
        <f>I98+J98+K98+L98+M98+N98+O98</f>
        <v>2235883.9099999997</v>
      </c>
      <c r="I98" s="50">
        <f>ROUND((191.67+290.35)*G98,2)-36330.46</f>
        <v>664333.81000000006</v>
      </c>
      <c r="J98" s="50">
        <v>0</v>
      </c>
      <c r="K98" s="71">
        <f>ROUND(1056.15*G98,2)-79603.36</f>
        <v>1455616.2799999998</v>
      </c>
      <c r="L98" s="49">
        <v>0</v>
      </c>
      <c r="M98" s="50">
        <v>0</v>
      </c>
      <c r="N98" s="50">
        <v>0</v>
      </c>
      <c r="O98" s="50">
        <v>115933.82</v>
      </c>
      <c r="P98" s="50">
        <v>0</v>
      </c>
      <c r="Q98" s="50">
        <v>0</v>
      </c>
      <c r="R98" s="50">
        <v>0</v>
      </c>
      <c r="S98" s="94">
        <f>H98</f>
        <v>2235883.9099999997</v>
      </c>
      <c r="T98" s="66">
        <v>2017</v>
      </c>
      <c r="U98" s="66">
        <v>2017</v>
      </c>
      <c r="V98" s="152" t="s">
        <v>145</v>
      </c>
      <c r="W98" s="153">
        <v>5</v>
      </c>
      <c r="X98" s="154" t="s">
        <v>155</v>
      </c>
    </row>
    <row r="99" spans="1:24" s="24" customFormat="1" ht="15.75" customHeight="1">
      <c r="A99" s="66">
        <f t="shared" si="8"/>
        <v>75</v>
      </c>
      <c r="B99" s="35" t="s">
        <v>203</v>
      </c>
      <c r="C99" s="47" t="s">
        <v>71</v>
      </c>
      <c r="D99" s="47"/>
      <c r="E99" s="195"/>
      <c r="F99" s="94">
        <v>607.6</v>
      </c>
      <c r="G99" s="151">
        <v>556.1</v>
      </c>
      <c r="H99" s="50">
        <f>I99+J99+K99+L99+M99+N99+O99</f>
        <v>2342093</v>
      </c>
      <c r="I99" s="50">
        <v>0</v>
      </c>
      <c r="J99" s="50">
        <v>0</v>
      </c>
      <c r="K99" s="50">
        <f>ROUND(4211.64*G99,2)-O99</f>
        <v>2274353.92</v>
      </c>
      <c r="L99" s="49">
        <v>0</v>
      </c>
      <c r="M99" s="50">
        <v>0</v>
      </c>
      <c r="N99" s="50">
        <v>0</v>
      </c>
      <c r="O99" s="50">
        <v>67739.08</v>
      </c>
      <c r="P99" s="50">
        <v>0</v>
      </c>
      <c r="Q99" s="50">
        <v>0</v>
      </c>
      <c r="R99" s="50">
        <v>0</v>
      </c>
      <c r="S99" s="94">
        <f>H99</f>
        <v>2342093</v>
      </c>
      <c r="T99" s="66">
        <v>2017</v>
      </c>
      <c r="U99" s="66">
        <v>2017</v>
      </c>
      <c r="V99" s="152" t="s">
        <v>154</v>
      </c>
      <c r="W99" s="153">
        <v>2</v>
      </c>
      <c r="X99" s="154" t="s">
        <v>156</v>
      </c>
    </row>
    <row r="100" spans="1:24" s="24" customFormat="1" ht="15.75" customHeight="1">
      <c r="A100" s="66">
        <f t="shared" si="8"/>
        <v>76</v>
      </c>
      <c r="B100" s="35" t="s">
        <v>188</v>
      </c>
      <c r="C100" s="37" t="s">
        <v>62</v>
      </c>
      <c r="D100" s="37"/>
      <c r="E100" s="214"/>
      <c r="F100" s="94">
        <v>3856.7</v>
      </c>
      <c r="G100" s="151">
        <v>3204.4</v>
      </c>
      <c r="H100" s="50">
        <f>I100+J100+K100+L100+M100+N100+O100</f>
        <v>10954241.4</v>
      </c>
      <c r="I100" s="50">
        <f>ROUND((191.67+381.86+292.97+727.06)*G100,2)-188265.06</f>
        <v>4918138.6000000006</v>
      </c>
      <c r="J100" s="50">
        <v>0</v>
      </c>
      <c r="K100" s="49">
        <f>ROUND(1824.94*G100,2)-215600.56</f>
        <v>5632237.1800000006</v>
      </c>
      <c r="L100" s="50">
        <v>0</v>
      </c>
      <c r="M100" s="50">
        <v>0</v>
      </c>
      <c r="N100" s="50">
        <v>0</v>
      </c>
      <c r="O100" s="50">
        <v>403865.62</v>
      </c>
      <c r="P100" s="50">
        <v>0</v>
      </c>
      <c r="Q100" s="50">
        <v>0</v>
      </c>
      <c r="R100" s="50">
        <v>0</v>
      </c>
      <c r="S100" s="94">
        <f>H100</f>
        <v>10954241.4</v>
      </c>
      <c r="T100" s="66">
        <v>2017</v>
      </c>
      <c r="U100" s="66">
        <v>2017</v>
      </c>
      <c r="V100" s="152" t="s">
        <v>145</v>
      </c>
      <c r="W100" s="153">
        <v>5</v>
      </c>
      <c r="X100" s="154" t="s">
        <v>156</v>
      </c>
    </row>
    <row r="101" spans="1:24" s="24" customFormat="1" ht="15.75" customHeight="1">
      <c r="A101" s="66">
        <f t="shared" si="8"/>
        <v>77</v>
      </c>
      <c r="B101" s="163" t="s">
        <v>259</v>
      </c>
      <c r="C101" s="47" t="s">
        <v>454</v>
      </c>
      <c r="D101" s="47"/>
      <c r="E101" s="195"/>
      <c r="F101" s="94">
        <v>3795.3</v>
      </c>
      <c r="G101" s="151">
        <v>3607.6</v>
      </c>
      <c r="H101" s="50">
        <f>I101+J101+K101+L101+M101+N101+O101</f>
        <v>1445601.4</v>
      </c>
      <c r="I101" s="50">
        <f>ROUND(400.71*G101,2)-O101</f>
        <v>1358865.3199999998</v>
      </c>
      <c r="J101" s="50">
        <v>0</v>
      </c>
      <c r="K101" s="50">
        <v>0</v>
      </c>
      <c r="L101" s="49">
        <v>0</v>
      </c>
      <c r="M101" s="50">
        <v>0</v>
      </c>
      <c r="N101" s="50">
        <v>0</v>
      </c>
      <c r="O101" s="50">
        <v>86736.08</v>
      </c>
      <c r="P101" s="50">
        <v>0</v>
      </c>
      <c r="Q101" s="50">
        <v>0</v>
      </c>
      <c r="R101" s="50">
        <v>0</v>
      </c>
      <c r="S101" s="94">
        <f>H101</f>
        <v>1445601.4</v>
      </c>
      <c r="T101" s="66">
        <v>2017</v>
      </c>
      <c r="U101" s="66">
        <v>2017</v>
      </c>
      <c r="V101" s="152" t="s">
        <v>144</v>
      </c>
      <c r="W101" s="153">
        <v>9</v>
      </c>
      <c r="X101" s="154" t="s">
        <v>155</v>
      </c>
    </row>
    <row r="102" spans="1:24" s="24" customFormat="1" ht="15.75" customHeight="1">
      <c r="A102" s="66">
        <f t="shared" si="8"/>
        <v>78</v>
      </c>
      <c r="B102" s="164" t="s">
        <v>204</v>
      </c>
      <c r="C102" s="47" t="s">
        <v>456</v>
      </c>
      <c r="D102" s="47"/>
      <c r="E102" s="195"/>
      <c r="F102" s="94">
        <v>2746.1</v>
      </c>
      <c r="G102" s="151">
        <v>2688.2</v>
      </c>
      <c r="H102" s="50">
        <f>I102+J102+K102+L102+M102+N102+O102</f>
        <v>2882960.09</v>
      </c>
      <c r="I102" s="50">
        <v>0</v>
      </c>
      <c r="J102" s="50">
        <v>0</v>
      </c>
      <c r="K102" s="50">
        <f>ROUND(1072.45*G102,2)-O102</f>
        <v>2804543.19</v>
      </c>
      <c r="L102" s="49">
        <v>0</v>
      </c>
      <c r="M102" s="50">
        <v>0</v>
      </c>
      <c r="N102" s="50">
        <v>0</v>
      </c>
      <c r="O102" s="50">
        <v>78416.899999999994</v>
      </c>
      <c r="P102" s="50">
        <v>0</v>
      </c>
      <c r="Q102" s="50">
        <v>0</v>
      </c>
      <c r="R102" s="50">
        <v>0</v>
      </c>
      <c r="S102" s="94">
        <f>H102</f>
        <v>2882960.09</v>
      </c>
      <c r="T102" s="66">
        <v>2017</v>
      </c>
      <c r="U102" s="66">
        <v>2017</v>
      </c>
      <c r="V102" s="152" t="s">
        <v>144</v>
      </c>
      <c r="W102" s="153">
        <v>5</v>
      </c>
      <c r="X102" s="154" t="s">
        <v>155</v>
      </c>
    </row>
    <row r="103" spans="1:24" s="24" customFormat="1" ht="15.75" customHeight="1">
      <c r="A103" s="66">
        <f t="shared" si="8"/>
        <v>79</v>
      </c>
      <c r="B103" s="164" t="s">
        <v>443</v>
      </c>
      <c r="C103" s="47" t="s">
        <v>24</v>
      </c>
      <c r="D103" s="47"/>
      <c r="E103" s="195"/>
      <c r="F103" s="94">
        <v>3839.9</v>
      </c>
      <c r="G103" s="151">
        <v>3664.3</v>
      </c>
      <c r="H103" s="50">
        <f>I103+J103+K103+L103+M103+N103+O103</f>
        <v>2578714.48</v>
      </c>
      <c r="I103" s="50">
        <v>0</v>
      </c>
      <c r="J103" s="50">
        <v>0</v>
      </c>
      <c r="K103" s="49">
        <f>ROUND(703.74*G103,2)-O103</f>
        <v>2507529.7999999998</v>
      </c>
      <c r="L103" s="49">
        <v>0</v>
      </c>
      <c r="M103" s="50">
        <v>0</v>
      </c>
      <c r="N103" s="50">
        <v>0</v>
      </c>
      <c r="O103" s="50">
        <v>71184.679999999993</v>
      </c>
      <c r="P103" s="50">
        <v>0</v>
      </c>
      <c r="Q103" s="50">
        <v>0</v>
      </c>
      <c r="R103" s="50">
        <v>0</v>
      </c>
      <c r="S103" s="94">
        <f>H103</f>
        <v>2578714.48</v>
      </c>
      <c r="T103" s="66">
        <v>2017</v>
      </c>
      <c r="U103" s="66">
        <v>2017</v>
      </c>
      <c r="V103" s="152" t="s">
        <v>144</v>
      </c>
      <c r="W103" s="153">
        <v>9</v>
      </c>
      <c r="X103" s="154" t="s">
        <v>155</v>
      </c>
    </row>
    <row r="104" spans="1:24" s="24" customFormat="1" ht="15.75" customHeight="1">
      <c r="A104" s="66">
        <f t="shared" si="8"/>
        <v>80</v>
      </c>
      <c r="B104" s="164" t="s">
        <v>216</v>
      </c>
      <c r="C104" s="47" t="s">
        <v>53</v>
      </c>
      <c r="D104" s="47"/>
      <c r="E104" s="195"/>
      <c r="F104" s="94">
        <v>1365.9</v>
      </c>
      <c r="G104" s="151">
        <v>1329.5</v>
      </c>
      <c r="H104" s="50">
        <f>I104+J104+K104+L104+M104+N104+O104</f>
        <v>2426257.73</v>
      </c>
      <c r="I104" s="50">
        <v>0</v>
      </c>
      <c r="J104" s="50">
        <v>0</v>
      </c>
      <c r="K104" s="49">
        <f>ROUND(1824.94*G104,2)-O104</f>
        <v>2353769.15</v>
      </c>
      <c r="L104" s="49">
        <v>0</v>
      </c>
      <c r="M104" s="50">
        <v>0</v>
      </c>
      <c r="N104" s="50">
        <v>0</v>
      </c>
      <c r="O104" s="50">
        <v>72488.58</v>
      </c>
      <c r="P104" s="50">
        <v>0</v>
      </c>
      <c r="Q104" s="50">
        <v>0</v>
      </c>
      <c r="R104" s="50">
        <v>0</v>
      </c>
      <c r="S104" s="94">
        <f>H104</f>
        <v>2426257.73</v>
      </c>
      <c r="T104" s="66">
        <v>2017</v>
      </c>
      <c r="U104" s="66">
        <v>2017</v>
      </c>
      <c r="V104" s="152" t="s">
        <v>145</v>
      </c>
      <c r="W104" s="153">
        <v>3</v>
      </c>
      <c r="X104" s="154" t="s">
        <v>156</v>
      </c>
    </row>
    <row r="105" spans="1:24" s="24" customFormat="1" ht="15.75" customHeight="1">
      <c r="A105" s="66">
        <f t="shared" si="8"/>
        <v>81</v>
      </c>
      <c r="B105" s="165" t="s">
        <v>209</v>
      </c>
      <c r="C105" s="47" t="s">
        <v>457</v>
      </c>
      <c r="D105" s="47"/>
      <c r="E105" s="195"/>
      <c r="F105" s="94">
        <v>423.2</v>
      </c>
      <c r="G105" s="166">
        <v>383.7</v>
      </c>
      <c r="H105" s="50">
        <f>I105+J105+K105+L105+M105+N105+O105</f>
        <v>1616006.27</v>
      </c>
      <c r="I105" s="50">
        <v>0</v>
      </c>
      <c r="J105" s="50">
        <v>0</v>
      </c>
      <c r="K105" s="49">
        <f>ROUND(4211.64*G105,2)-O105</f>
        <v>1540210.15</v>
      </c>
      <c r="L105" s="49">
        <v>0</v>
      </c>
      <c r="M105" s="50">
        <v>0</v>
      </c>
      <c r="N105" s="50">
        <v>0</v>
      </c>
      <c r="O105" s="50">
        <v>75796.12</v>
      </c>
      <c r="P105" s="50">
        <v>0</v>
      </c>
      <c r="Q105" s="50">
        <v>0</v>
      </c>
      <c r="R105" s="50">
        <v>0</v>
      </c>
      <c r="S105" s="94">
        <f>H105</f>
        <v>1616006.27</v>
      </c>
      <c r="T105" s="66">
        <v>2017</v>
      </c>
      <c r="U105" s="66">
        <v>2017</v>
      </c>
      <c r="V105" s="167" t="s">
        <v>145</v>
      </c>
      <c r="W105" s="153">
        <v>2</v>
      </c>
      <c r="X105" s="168" t="s">
        <v>156</v>
      </c>
    </row>
    <row r="106" spans="1:24" s="24" customFormat="1" ht="15.75" customHeight="1">
      <c r="A106" s="66">
        <f t="shared" si="8"/>
        <v>82</v>
      </c>
      <c r="B106" s="164" t="s">
        <v>246</v>
      </c>
      <c r="C106" s="47" t="s">
        <v>22</v>
      </c>
      <c r="D106" s="47"/>
      <c r="E106" s="195"/>
      <c r="F106" s="94">
        <v>3946.4</v>
      </c>
      <c r="G106" s="151">
        <v>3741.7</v>
      </c>
      <c r="H106" s="50">
        <f>I106+J106+K106+L106+M106+N106+O106</f>
        <v>2509670.44</v>
      </c>
      <c r="I106" s="50">
        <v>0</v>
      </c>
      <c r="J106" s="50">
        <v>0</v>
      </c>
      <c r="K106" s="50">
        <f>ROUND(670.73*G106,2)-O106</f>
        <v>2437469.7799999998</v>
      </c>
      <c r="L106" s="49">
        <v>0</v>
      </c>
      <c r="M106" s="50">
        <v>0</v>
      </c>
      <c r="N106" s="50">
        <v>0</v>
      </c>
      <c r="O106" s="50">
        <v>72200.66</v>
      </c>
      <c r="P106" s="50">
        <v>0</v>
      </c>
      <c r="Q106" s="50">
        <v>0</v>
      </c>
      <c r="R106" s="50">
        <v>0</v>
      </c>
      <c r="S106" s="94">
        <f>H106</f>
        <v>2509670.44</v>
      </c>
      <c r="T106" s="66">
        <v>2017</v>
      </c>
      <c r="U106" s="66">
        <v>2017</v>
      </c>
      <c r="V106" s="152" t="s">
        <v>145</v>
      </c>
      <c r="W106" s="153">
        <v>9</v>
      </c>
      <c r="X106" s="154" t="s">
        <v>155</v>
      </c>
    </row>
    <row r="107" spans="1:24" s="24" customFormat="1" ht="15.75" customHeight="1">
      <c r="A107" s="66">
        <f t="shared" si="8"/>
        <v>83</v>
      </c>
      <c r="B107" s="164" t="s">
        <v>195</v>
      </c>
      <c r="C107" s="47" t="s">
        <v>454</v>
      </c>
      <c r="D107" s="47"/>
      <c r="E107" s="195"/>
      <c r="F107" s="94">
        <v>3836.2</v>
      </c>
      <c r="G107" s="151">
        <v>3818.8</v>
      </c>
      <c r="H107" s="50">
        <f>I107+J107+K107+L107+M107+N107+O107</f>
        <v>6075603.3200000003</v>
      </c>
      <c r="I107" s="50">
        <v>0</v>
      </c>
      <c r="J107" s="157">
        <f>3037801.66*2</f>
        <v>6075603.3200000003</v>
      </c>
      <c r="K107" s="50">
        <v>0</v>
      </c>
      <c r="L107" s="49">
        <v>0</v>
      </c>
      <c r="M107" s="50">
        <v>0</v>
      </c>
      <c r="N107" s="50">
        <v>0</v>
      </c>
      <c r="O107" s="50">
        <v>0</v>
      </c>
      <c r="P107" s="50">
        <v>0</v>
      </c>
      <c r="Q107" s="50">
        <v>0</v>
      </c>
      <c r="R107" s="50">
        <v>0</v>
      </c>
      <c r="S107" s="94">
        <f>H107</f>
        <v>6075603.3200000003</v>
      </c>
      <c r="T107" s="66">
        <v>2017</v>
      </c>
      <c r="U107" s="66">
        <v>2017</v>
      </c>
      <c r="V107" s="152" t="s">
        <v>144</v>
      </c>
      <c r="W107" s="153">
        <v>9</v>
      </c>
      <c r="X107" s="154" t="s">
        <v>155</v>
      </c>
    </row>
    <row r="108" spans="1:24" s="24" customFormat="1" ht="15.75" customHeight="1">
      <c r="A108" s="66">
        <f t="shared" si="8"/>
        <v>84</v>
      </c>
      <c r="B108" s="164" t="s">
        <v>126</v>
      </c>
      <c r="C108" s="37" t="s">
        <v>114</v>
      </c>
      <c r="D108" s="37"/>
      <c r="E108" s="214"/>
      <c r="F108" s="94">
        <v>9145.2999999999993</v>
      </c>
      <c r="G108" s="151">
        <v>7703.2</v>
      </c>
      <c r="H108" s="50">
        <f>I108+J108+K108+L108+M108+N108+O108</f>
        <v>6204619.4699999997</v>
      </c>
      <c r="I108" s="50">
        <f>ROUND((229.94+304.67+270.85)*G108,2)-O108</f>
        <v>5832342.2999999998</v>
      </c>
      <c r="J108" s="169">
        <v>0</v>
      </c>
      <c r="K108" s="50">
        <v>0</v>
      </c>
      <c r="L108" s="50">
        <v>0</v>
      </c>
      <c r="M108" s="50">
        <v>0</v>
      </c>
      <c r="N108" s="50">
        <v>0</v>
      </c>
      <c r="O108" s="50">
        <v>372277.17</v>
      </c>
      <c r="P108" s="50">
        <v>0</v>
      </c>
      <c r="Q108" s="50">
        <v>0</v>
      </c>
      <c r="R108" s="50">
        <v>0</v>
      </c>
      <c r="S108" s="94">
        <f>H108</f>
        <v>6204619.4699999997</v>
      </c>
      <c r="T108" s="66">
        <v>2017</v>
      </c>
      <c r="U108" s="66">
        <v>2017</v>
      </c>
      <c r="V108" s="152" t="s">
        <v>144</v>
      </c>
      <c r="W108" s="153">
        <v>9</v>
      </c>
      <c r="X108" s="154" t="s">
        <v>155</v>
      </c>
    </row>
    <row r="109" spans="1:24" s="24" customFormat="1" ht="15.75" customHeight="1">
      <c r="A109" s="66">
        <f t="shared" si="8"/>
        <v>85</v>
      </c>
      <c r="B109" s="164" t="s">
        <v>190</v>
      </c>
      <c r="C109" s="37" t="s">
        <v>457</v>
      </c>
      <c r="D109" s="37"/>
      <c r="E109" s="214"/>
      <c r="F109" s="94">
        <v>649.79999999999995</v>
      </c>
      <c r="G109" s="151">
        <v>592.29999999999995</v>
      </c>
      <c r="H109" s="50">
        <f>I109+J109+K109+L109+M109+N109+O109</f>
        <v>915749.11</v>
      </c>
      <c r="I109" s="50">
        <f>ROUND((197.29+298.86+301.56+748.38)*G109,2)-O109</f>
        <v>872603.59</v>
      </c>
      <c r="J109" s="169">
        <v>0</v>
      </c>
      <c r="K109" s="50">
        <v>0</v>
      </c>
      <c r="L109" s="50">
        <v>0</v>
      </c>
      <c r="M109" s="50">
        <v>0</v>
      </c>
      <c r="N109" s="50">
        <v>0</v>
      </c>
      <c r="O109" s="50">
        <v>43145.52</v>
      </c>
      <c r="P109" s="50">
        <v>0</v>
      </c>
      <c r="Q109" s="50">
        <v>0</v>
      </c>
      <c r="R109" s="50">
        <v>0</v>
      </c>
      <c r="S109" s="94">
        <f>H109</f>
        <v>915749.11</v>
      </c>
      <c r="T109" s="66">
        <v>2017</v>
      </c>
      <c r="U109" s="66">
        <v>2017</v>
      </c>
      <c r="V109" s="152" t="s">
        <v>145</v>
      </c>
      <c r="W109" s="153">
        <v>2</v>
      </c>
      <c r="X109" s="154" t="s">
        <v>156</v>
      </c>
    </row>
    <row r="110" spans="1:24" s="24" customFormat="1" ht="15.75" customHeight="1">
      <c r="A110" s="66">
        <f t="shared" si="8"/>
        <v>86</v>
      </c>
      <c r="B110" s="164" t="s">
        <v>189</v>
      </c>
      <c r="C110" s="37" t="s">
        <v>457</v>
      </c>
      <c r="D110" s="37"/>
      <c r="E110" s="214"/>
      <c r="F110" s="94">
        <v>655.6</v>
      </c>
      <c r="G110" s="151">
        <v>602</v>
      </c>
      <c r="H110" s="50">
        <f>I110+J110+K110+L110+M110+N110+O110</f>
        <v>3346162.8199999994</v>
      </c>
      <c r="I110" s="50">
        <v>0</v>
      </c>
      <c r="J110" s="169">
        <v>0</v>
      </c>
      <c r="K110" s="49">
        <f>ROUND(4211.64*G110,2)-57487.49</f>
        <v>2477919.7899999996</v>
      </c>
      <c r="L110" s="50">
        <v>0</v>
      </c>
      <c r="M110" s="49">
        <f>ROUND(1346.77*G110,2)-18382.97</f>
        <v>792372.57000000007</v>
      </c>
      <c r="N110" s="50">
        <v>0</v>
      </c>
      <c r="O110" s="50">
        <v>75870.460000000006</v>
      </c>
      <c r="P110" s="50">
        <v>0</v>
      </c>
      <c r="Q110" s="50">
        <v>0</v>
      </c>
      <c r="R110" s="50">
        <v>0</v>
      </c>
      <c r="S110" s="94">
        <f>H110</f>
        <v>3346162.8199999994</v>
      </c>
      <c r="T110" s="66">
        <v>2017</v>
      </c>
      <c r="U110" s="66">
        <v>2017</v>
      </c>
      <c r="V110" s="152" t="s">
        <v>145</v>
      </c>
      <c r="W110" s="153">
        <v>2</v>
      </c>
      <c r="X110" s="154" t="s">
        <v>156</v>
      </c>
    </row>
    <row r="111" spans="1:24" s="24" customFormat="1" ht="15.75" customHeight="1">
      <c r="A111" s="66">
        <f t="shared" si="8"/>
        <v>87</v>
      </c>
      <c r="B111" s="164" t="s">
        <v>191</v>
      </c>
      <c r="C111" s="47" t="s">
        <v>454</v>
      </c>
      <c r="D111" s="47"/>
      <c r="E111" s="195"/>
      <c r="F111" s="94">
        <v>3889.1</v>
      </c>
      <c r="G111" s="151">
        <v>3858.2</v>
      </c>
      <c r="H111" s="50">
        <f>I111+J111+K111+L111+M111+N111+O111</f>
        <v>6075603.3200000003</v>
      </c>
      <c r="I111" s="50">
        <v>0</v>
      </c>
      <c r="J111" s="170">
        <f>3037801.66*2</f>
        <v>6075603.3200000003</v>
      </c>
      <c r="K111" s="50">
        <v>0</v>
      </c>
      <c r="L111" s="49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94">
        <f>H111</f>
        <v>6075603.3200000003</v>
      </c>
      <c r="T111" s="66">
        <v>2017</v>
      </c>
      <c r="U111" s="66">
        <v>2017</v>
      </c>
      <c r="V111" s="152" t="s">
        <v>144</v>
      </c>
      <c r="W111" s="153">
        <v>9</v>
      </c>
      <c r="X111" s="154" t="s">
        <v>155</v>
      </c>
    </row>
    <row r="112" spans="1:24" s="24" customFormat="1" ht="15.75" customHeight="1">
      <c r="A112" s="66">
        <f t="shared" si="8"/>
        <v>88</v>
      </c>
      <c r="B112" s="164" t="s">
        <v>193</v>
      </c>
      <c r="C112" s="47" t="s">
        <v>458</v>
      </c>
      <c r="D112" s="47"/>
      <c r="E112" s="195"/>
      <c r="F112" s="94">
        <v>923.9</v>
      </c>
      <c r="G112" s="151">
        <v>825.7</v>
      </c>
      <c r="H112" s="50">
        <f>I112+J112+K112+L112+M112+N112+O112</f>
        <v>3477551.15</v>
      </c>
      <c r="I112" s="50">
        <v>0</v>
      </c>
      <c r="J112" s="169">
        <v>0</v>
      </c>
      <c r="K112" s="49">
        <f>ROUND(4211.64*G112,2)-O112</f>
        <v>3408449.17</v>
      </c>
      <c r="L112" s="49">
        <v>0</v>
      </c>
      <c r="M112" s="50">
        <v>0</v>
      </c>
      <c r="N112" s="50">
        <v>0</v>
      </c>
      <c r="O112" s="50">
        <v>69101.98</v>
      </c>
      <c r="P112" s="50">
        <v>0</v>
      </c>
      <c r="Q112" s="50">
        <v>0</v>
      </c>
      <c r="R112" s="50">
        <v>0</v>
      </c>
      <c r="S112" s="94">
        <f>H112</f>
        <v>3477551.15</v>
      </c>
      <c r="T112" s="66">
        <v>2017</v>
      </c>
      <c r="U112" s="66">
        <v>2017</v>
      </c>
      <c r="V112" s="152" t="s">
        <v>145</v>
      </c>
      <c r="W112" s="153">
        <v>2</v>
      </c>
      <c r="X112" s="154" t="s">
        <v>156</v>
      </c>
    </row>
    <row r="113" spans="1:24" s="24" customFormat="1" ht="15.75" customHeight="1">
      <c r="A113" s="66">
        <f t="shared" si="8"/>
        <v>89</v>
      </c>
      <c r="B113" s="164" t="s">
        <v>192</v>
      </c>
      <c r="C113" s="47" t="s">
        <v>454</v>
      </c>
      <c r="D113" s="47"/>
      <c r="E113" s="195"/>
      <c r="F113" s="94">
        <v>3883.9</v>
      </c>
      <c r="G113" s="151">
        <v>3866.9</v>
      </c>
      <c r="H113" s="50">
        <f>I113+J113+K113+L113+M113+N113+O113</f>
        <v>6075603.3200000003</v>
      </c>
      <c r="I113" s="50">
        <v>0</v>
      </c>
      <c r="J113" s="157">
        <f>3037801.66*2</f>
        <v>6075603.3200000003</v>
      </c>
      <c r="K113" s="50">
        <v>0</v>
      </c>
      <c r="L113" s="49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94">
        <f>H113</f>
        <v>6075603.3200000003</v>
      </c>
      <c r="T113" s="66">
        <v>2017</v>
      </c>
      <c r="U113" s="66">
        <v>2017</v>
      </c>
      <c r="V113" s="152" t="s">
        <v>144</v>
      </c>
      <c r="W113" s="153">
        <v>9</v>
      </c>
      <c r="X113" s="154" t="s">
        <v>155</v>
      </c>
    </row>
    <row r="114" spans="1:24" s="24" customFormat="1" ht="15.75" customHeight="1">
      <c r="A114" s="66">
        <f t="shared" si="8"/>
        <v>90</v>
      </c>
      <c r="B114" s="164" t="s">
        <v>239</v>
      </c>
      <c r="C114" s="47" t="s">
        <v>71</v>
      </c>
      <c r="D114" s="47"/>
      <c r="E114" s="195"/>
      <c r="F114" s="94">
        <v>1758.3</v>
      </c>
      <c r="G114" s="151">
        <v>1539.8</v>
      </c>
      <c r="H114" s="50">
        <f>I114+J114+K114+L114+M114+N114+O114</f>
        <v>1762701.45</v>
      </c>
      <c r="I114" s="50">
        <v>0</v>
      </c>
      <c r="J114" s="50">
        <v>0</v>
      </c>
      <c r="K114" s="50">
        <v>0</v>
      </c>
      <c r="L114" s="49">
        <v>0</v>
      </c>
      <c r="M114" s="49">
        <f>ROUND(1144.76*G114,2)-O114</f>
        <v>1665228.73</v>
      </c>
      <c r="N114" s="50">
        <v>0</v>
      </c>
      <c r="O114" s="50">
        <v>97472.72</v>
      </c>
      <c r="P114" s="50">
        <v>0</v>
      </c>
      <c r="Q114" s="50">
        <v>0</v>
      </c>
      <c r="R114" s="50">
        <v>0</v>
      </c>
      <c r="S114" s="94">
        <f>H114</f>
        <v>1762701.45</v>
      </c>
      <c r="T114" s="66">
        <v>2017</v>
      </c>
      <c r="U114" s="66">
        <v>2017</v>
      </c>
      <c r="V114" s="152" t="s">
        <v>145</v>
      </c>
      <c r="W114" s="153">
        <v>3</v>
      </c>
      <c r="X114" s="154" t="s">
        <v>156</v>
      </c>
    </row>
    <row r="115" spans="1:24" s="24" customFormat="1" ht="15.75" customHeight="1">
      <c r="A115" s="66">
        <f t="shared" si="8"/>
        <v>91</v>
      </c>
      <c r="B115" s="164" t="s">
        <v>241</v>
      </c>
      <c r="C115" s="47" t="s">
        <v>75</v>
      </c>
      <c r="D115" s="47"/>
      <c r="E115" s="195"/>
      <c r="F115" s="94">
        <v>1999.2</v>
      </c>
      <c r="G115" s="151">
        <v>1559.7</v>
      </c>
      <c r="H115" s="50">
        <f>I115+J115+K115+L115+M115+N115+O115</f>
        <v>5983321.1400000006</v>
      </c>
      <c r="I115" s="50">
        <f>ROUND((191.67+381.86+292.97)*G115,2)-61272.24</f>
        <v>1290207.81</v>
      </c>
      <c r="J115" s="50">
        <v>0</v>
      </c>
      <c r="K115" s="49">
        <f>ROUND(1824.94*G115,2)-129045.77</f>
        <v>2717313.15</v>
      </c>
      <c r="L115" s="49">
        <v>0</v>
      </c>
      <c r="M115" s="49">
        <f>ROUND(1144.76*G115,2)-80948.65</f>
        <v>1704533.52</v>
      </c>
      <c r="N115" s="50">
        <v>0</v>
      </c>
      <c r="O115" s="50">
        <v>271266.65999999997</v>
      </c>
      <c r="P115" s="50">
        <v>0</v>
      </c>
      <c r="Q115" s="50">
        <v>0</v>
      </c>
      <c r="R115" s="50">
        <v>0</v>
      </c>
      <c r="S115" s="94">
        <f>H115</f>
        <v>5983321.1400000006</v>
      </c>
      <c r="T115" s="66">
        <v>2017</v>
      </c>
      <c r="U115" s="66">
        <v>2017</v>
      </c>
      <c r="V115" s="152" t="s">
        <v>145</v>
      </c>
      <c r="W115" s="153">
        <v>3</v>
      </c>
      <c r="X115" s="154" t="s">
        <v>156</v>
      </c>
    </row>
    <row r="116" spans="1:24" s="24" customFormat="1" ht="15.75" customHeight="1">
      <c r="A116" s="66">
        <f t="shared" si="8"/>
        <v>92</v>
      </c>
      <c r="B116" s="164" t="s">
        <v>224</v>
      </c>
      <c r="C116" s="47" t="s">
        <v>95</v>
      </c>
      <c r="D116" s="47"/>
      <c r="E116" s="195"/>
      <c r="F116" s="94">
        <v>5741.3</v>
      </c>
      <c r="G116" s="151">
        <v>5692.3</v>
      </c>
      <c r="H116" s="50">
        <f>I116+J116+K116+L116+M116+N116+O116</f>
        <v>6104707.1399999997</v>
      </c>
      <c r="I116" s="50">
        <v>0</v>
      </c>
      <c r="J116" s="50">
        <v>0</v>
      </c>
      <c r="K116" s="38">
        <f>ROUND(1072.45*G116,2)-O116</f>
        <v>5967337.4399999995</v>
      </c>
      <c r="L116" s="49">
        <v>0</v>
      </c>
      <c r="M116" s="50">
        <v>0</v>
      </c>
      <c r="N116" s="50">
        <v>0</v>
      </c>
      <c r="O116" s="50">
        <v>137369.70000000001</v>
      </c>
      <c r="P116" s="50">
        <v>0</v>
      </c>
      <c r="Q116" s="50">
        <v>0</v>
      </c>
      <c r="R116" s="50">
        <v>0</v>
      </c>
      <c r="S116" s="94">
        <f>H116</f>
        <v>6104707.1399999997</v>
      </c>
      <c r="T116" s="66">
        <v>2017</v>
      </c>
      <c r="U116" s="66">
        <v>2017</v>
      </c>
      <c r="V116" s="152" t="s">
        <v>144</v>
      </c>
      <c r="W116" s="153">
        <v>5</v>
      </c>
      <c r="X116" s="154" t="s">
        <v>155</v>
      </c>
    </row>
    <row r="117" spans="1:24" s="24" customFormat="1" ht="15.75" customHeight="1">
      <c r="A117" s="66">
        <f t="shared" si="8"/>
        <v>93</v>
      </c>
      <c r="B117" s="171" t="s">
        <v>238</v>
      </c>
      <c r="C117" s="47" t="s">
        <v>18</v>
      </c>
      <c r="D117" s="47"/>
      <c r="E117" s="195"/>
      <c r="F117" s="94">
        <v>858.5</v>
      </c>
      <c r="G117" s="151">
        <v>632.20000000000005</v>
      </c>
      <c r="H117" s="50">
        <f>I117+J117+K117+L117+M117+N117+O117</f>
        <v>1153727.07</v>
      </c>
      <c r="I117" s="50">
        <v>0</v>
      </c>
      <c r="J117" s="50">
        <v>0</v>
      </c>
      <c r="K117" s="49">
        <f>ROUND(1824.94*G117,2)-O117</f>
        <v>1098892.47</v>
      </c>
      <c r="L117" s="49">
        <v>0</v>
      </c>
      <c r="M117" s="50">
        <v>0</v>
      </c>
      <c r="N117" s="50">
        <v>0</v>
      </c>
      <c r="O117" s="50">
        <v>54834.6</v>
      </c>
      <c r="P117" s="50">
        <v>0</v>
      </c>
      <c r="Q117" s="50">
        <v>0</v>
      </c>
      <c r="R117" s="50">
        <v>0</v>
      </c>
      <c r="S117" s="94">
        <f>H117</f>
        <v>1153727.07</v>
      </c>
      <c r="T117" s="66">
        <v>2017</v>
      </c>
      <c r="U117" s="66">
        <v>2017</v>
      </c>
      <c r="V117" s="152" t="s">
        <v>145</v>
      </c>
      <c r="W117" s="153">
        <v>4</v>
      </c>
      <c r="X117" s="154" t="s">
        <v>156</v>
      </c>
    </row>
    <row r="118" spans="1:24" s="24" customFormat="1" ht="15.75" customHeight="1">
      <c r="A118" s="66">
        <f t="shared" si="8"/>
        <v>94</v>
      </c>
      <c r="B118" s="164" t="s">
        <v>194</v>
      </c>
      <c r="C118" s="47" t="s">
        <v>99</v>
      </c>
      <c r="D118" s="47"/>
      <c r="E118" s="195"/>
      <c r="F118" s="94">
        <v>3603.7</v>
      </c>
      <c r="G118" s="151">
        <v>3339.9</v>
      </c>
      <c r="H118" s="50">
        <f>I118+J118+K118+L118+M118+N118+O118</f>
        <v>3037801.66</v>
      </c>
      <c r="I118" s="50">
        <v>0</v>
      </c>
      <c r="J118" s="157">
        <v>3037801.66</v>
      </c>
      <c r="K118" s="50">
        <v>0</v>
      </c>
      <c r="L118" s="49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94">
        <f>H118</f>
        <v>3037801.66</v>
      </c>
      <c r="T118" s="66">
        <v>2017</v>
      </c>
      <c r="U118" s="66">
        <v>2017</v>
      </c>
      <c r="V118" s="152" t="s">
        <v>144</v>
      </c>
      <c r="W118" s="153">
        <v>9</v>
      </c>
      <c r="X118" s="154" t="s">
        <v>155</v>
      </c>
    </row>
    <row r="119" spans="1:24" s="24" customFormat="1" ht="15.75" customHeight="1">
      <c r="A119" s="66">
        <f t="shared" si="8"/>
        <v>95</v>
      </c>
      <c r="B119" s="164" t="s">
        <v>242</v>
      </c>
      <c r="C119" s="47" t="s">
        <v>97</v>
      </c>
      <c r="D119" s="47"/>
      <c r="E119" s="195"/>
      <c r="F119" s="94">
        <v>3847.9</v>
      </c>
      <c r="G119" s="151">
        <v>2412.1</v>
      </c>
      <c r="H119" s="50">
        <f>I119+J119+K119+L119+M119+N119+O119</f>
        <v>1869353.38</v>
      </c>
      <c r="I119" s="50">
        <f>ROUND((191.67+290.35+292.97)*G119,2)-O119</f>
        <v>1757192.18</v>
      </c>
      <c r="J119" s="50">
        <v>0</v>
      </c>
      <c r="K119" s="50">
        <v>0</v>
      </c>
      <c r="L119" s="49">
        <v>0</v>
      </c>
      <c r="M119" s="50">
        <v>0</v>
      </c>
      <c r="N119" s="50">
        <v>0</v>
      </c>
      <c r="O119" s="50">
        <v>112161.2</v>
      </c>
      <c r="P119" s="50">
        <v>0</v>
      </c>
      <c r="Q119" s="50">
        <v>0</v>
      </c>
      <c r="R119" s="50">
        <v>0</v>
      </c>
      <c r="S119" s="94">
        <f>H119</f>
        <v>1869353.38</v>
      </c>
      <c r="T119" s="66">
        <v>2017</v>
      </c>
      <c r="U119" s="66">
        <v>2017</v>
      </c>
      <c r="V119" s="152" t="s">
        <v>145</v>
      </c>
      <c r="W119" s="153">
        <v>5</v>
      </c>
      <c r="X119" s="154" t="s">
        <v>155</v>
      </c>
    </row>
    <row r="120" spans="1:24" s="24" customFormat="1" ht="32.25" customHeight="1">
      <c r="A120" s="66">
        <f t="shared" si="8"/>
        <v>96</v>
      </c>
      <c r="B120" s="171" t="s">
        <v>234</v>
      </c>
      <c r="C120" s="47" t="s">
        <v>24</v>
      </c>
      <c r="D120" s="47"/>
      <c r="E120" s="195"/>
      <c r="F120" s="94">
        <v>3456.9</v>
      </c>
      <c r="G120" s="151">
        <v>3440.6</v>
      </c>
      <c r="H120" s="50">
        <f>I120+J120+K120+L120+M120+N120+O120</f>
        <v>1326901.8</v>
      </c>
      <c r="I120" s="50">
        <f>ROUND(385.66*G120,2)-O120</f>
        <v>1247287.69</v>
      </c>
      <c r="J120" s="50">
        <v>0</v>
      </c>
      <c r="K120" s="50">
        <v>0</v>
      </c>
      <c r="L120" s="49">
        <v>0</v>
      </c>
      <c r="M120" s="50">
        <v>0</v>
      </c>
      <c r="N120" s="50">
        <v>0</v>
      </c>
      <c r="O120" s="50">
        <v>79614.11</v>
      </c>
      <c r="P120" s="50">
        <v>0</v>
      </c>
      <c r="Q120" s="50">
        <v>0</v>
      </c>
      <c r="R120" s="50">
        <v>0</v>
      </c>
      <c r="S120" s="94">
        <f>H120</f>
        <v>1326901.8</v>
      </c>
      <c r="T120" s="66">
        <v>2017</v>
      </c>
      <c r="U120" s="66">
        <v>2017</v>
      </c>
      <c r="V120" s="152" t="s">
        <v>144</v>
      </c>
      <c r="W120" s="153">
        <v>5</v>
      </c>
      <c r="X120" s="154" t="s">
        <v>155</v>
      </c>
    </row>
    <row r="121" spans="1:24" s="24" customFormat="1" ht="32.25" customHeight="1">
      <c r="A121" s="66">
        <f t="shared" si="8"/>
        <v>97</v>
      </c>
      <c r="B121" s="171" t="s">
        <v>444</v>
      </c>
      <c r="C121" s="47" t="s">
        <v>91</v>
      </c>
      <c r="D121" s="47"/>
      <c r="E121" s="195"/>
      <c r="F121" s="94">
        <v>3470.7</v>
      </c>
      <c r="G121" s="151">
        <v>3365.6</v>
      </c>
      <c r="H121" s="50">
        <f>I121+J121+K121+L121+M121+N121+O121</f>
        <v>1348629.58</v>
      </c>
      <c r="I121" s="50">
        <f>ROUND(400.71*G121,2)-O121</f>
        <v>1267711.81</v>
      </c>
      <c r="J121" s="169">
        <v>0</v>
      </c>
      <c r="K121" s="50">
        <v>0</v>
      </c>
      <c r="L121" s="49">
        <v>0</v>
      </c>
      <c r="M121" s="50">
        <v>0</v>
      </c>
      <c r="N121" s="50">
        <v>0</v>
      </c>
      <c r="O121" s="50">
        <v>80917.77</v>
      </c>
      <c r="P121" s="50">
        <v>0</v>
      </c>
      <c r="Q121" s="50">
        <v>0</v>
      </c>
      <c r="R121" s="50">
        <v>0</v>
      </c>
      <c r="S121" s="94">
        <f>H121</f>
        <v>1348629.58</v>
      </c>
      <c r="T121" s="66">
        <v>2017</v>
      </c>
      <c r="U121" s="66">
        <v>2017</v>
      </c>
      <c r="V121" s="152" t="s">
        <v>144</v>
      </c>
      <c r="W121" s="153">
        <v>9</v>
      </c>
      <c r="X121" s="154" t="s">
        <v>155</v>
      </c>
    </row>
    <row r="122" spans="1:24" s="24" customFormat="1" ht="32.25" customHeight="1">
      <c r="A122" s="66">
        <f t="shared" si="8"/>
        <v>98</v>
      </c>
      <c r="B122" s="171" t="s">
        <v>475</v>
      </c>
      <c r="C122" s="47" t="s">
        <v>95</v>
      </c>
      <c r="D122" s="47"/>
      <c r="E122" s="195"/>
      <c r="F122" s="94">
        <v>4104.1000000000004</v>
      </c>
      <c r="G122" s="151">
        <v>4074.4</v>
      </c>
      <c r="H122" s="50">
        <f>I122+J122+K122+L122+M122+N122+O122</f>
        <v>6075603.3200000003</v>
      </c>
      <c r="I122" s="50">
        <v>0</v>
      </c>
      <c r="J122" s="157">
        <f>3037801.66*2</f>
        <v>6075603.3200000003</v>
      </c>
      <c r="K122" s="50">
        <v>0</v>
      </c>
      <c r="L122" s="49">
        <v>0</v>
      </c>
      <c r="M122" s="50">
        <v>0</v>
      </c>
      <c r="N122" s="50">
        <v>0</v>
      </c>
      <c r="O122" s="50">
        <v>0</v>
      </c>
      <c r="P122" s="50">
        <v>0</v>
      </c>
      <c r="Q122" s="50">
        <v>0</v>
      </c>
      <c r="R122" s="50">
        <v>0</v>
      </c>
      <c r="S122" s="94">
        <f>H122</f>
        <v>6075603.3200000003</v>
      </c>
      <c r="T122" s="66">
        <v>2017</v>
      </c>
      <c r="U122" s="66">
        <v>2017</v>
      </c>
      <c r="V122" s="152" t="s">
        <v>144</v>
      </c>
      <c r="W122" s="153">
        <v>9</v>
      </c>
      <c r="X122" s="154" t="s">
        <v>155</v>
      </c>
    </row>
    <row r="123" spans="1:24" s="24" customFormat="1" ht="15.75" customHeight="1">
      <c r="A123" s="66">
        <f t="shared" si="8"/>
        <v>99</v>
      </c>
      <c r="B123" s="164" t="s">
        <v>175</v>
      </c>
      <c r="C123" s="47" t="s">
        <v>115</v>
      </c>
      <c r="D123" s="47"/>
      <c r="E123" s="195"/>
      <c r="F123" s="94">
        <v>1764.2</v>
      </c>
      <c r="G123" s="151">
        <v>1641.4</v>
      </c>
      <c r="H123" s="50">
        <f>I123+J123+K123+L123+M123+N123+O123</f>
        <v>1760319.43</v>
      </c>
      <c r="I123" s="50">
        <v>0</v>
      </c>
      <c r="J123" s="50">
        <v>0</v>
      </c>
      <c r="K123" s="38">
        <f>ROUND(1072.45*G123,2)-O123</f>
        <v>1702740.15</v>
      </c>
      <c r="L123" s="49">
        <v>0</v>
      </c>
      <c r="M123" s="50">
        <v>0</v>
      </c>
      <c r="N123" s="50">
        <v>0</v>
      </c>
      <c r="O123" s="50">
        <v>57579.28</v>
      </c>
      <c r="P123" s="50">
        <v>0</v>
      </c>
      <c r="Q123" s="50">
        <v>0</v>
      </c>
      <c r="R123" s="50">
        <v>0</v>
      </c>
      <c r="S123" s="94">
        <f>H123</f>
        <v>1760319.43</v>
      </c>
      <c r="T123" s="66">
        <v>2017</v>
      </c>
      <c r="U123" s="66">
        <v>2017</v>
      </c>
      <c r="V123" s="152" t="s">
        <v>144</v>
      </c>
      <c r="W123" s="153">
        <v>5</v>
      </c>
      <c r="X123" s="154" t="s">
        <v>155</v>
      </c>
    </row>
    <row r="124" spans="1:24" s="24" customFormat="1" ht="15.75" customHeight="1">
      <c r="A124" s="66">
        <f t="shared" si="8"/>
        <v>100</v>
      </c>
      <c r="B124" s="164" t="s">
        <v>176</v>
      </c>
      <c r="C124" s="47" t="s">
        <v>71</v>
      </c>
      <c r="D124" s="47"/>
      <c r="E124" s="195"/>
      <c r="F124" s="94">
        <v>1572.9</v>
      </c>
      <c r="G124" s="151">
        <v>1392.7</v>
      </c>
      <c r="H124" s="50">
        <f>I124+J124+K124+L124+M124+N124+O124</f>
        <v>1470900.11</v>
      </c>
      <c r="I124" s="50">
        <v>0</v>
      </c>
      <c r="J124" s="50">
        <v>0</v>
      </c>
      <c r="K124" s="71">
        <f>ROUND(1056.15*G124,2)-O124</f>
        <v>1413627.6300000001</v>
      </c>
      <c r="L124" s="49">
        <v>0</v>
      </c>
      <c r="M124" s="50">
        <v>0</v>
      </c>
      <c r="N124" s="50">
        <v>0</v>
      </c>
      <c r="O124" s="50">
        <v>57272.480000000003</v>
      </c>
      <c r="P124" s="50">
        <v>0</v>
      </c>
      <c r="Q124" s="50">
        <v>0</v>
      </c>
      <c r="R124" s="50">
        <v>0</v>
      </c>
      <c r="S124" s="94">
        <f>H124</f>
        <v>1470900.11</v>
      </c>
      <c r="T124" s="66">
        <v>2017</v>
      </c>
      <c r="U124" s="66">
        <v>2017</v>
      </c>
      <c r="V124" s="152" t="s">
        <v>145</v>
      </c>
      <c r="W124" s="153">
        <v>5</v>
      </c>
      <c r="X124" s="154" t="s">
        <v>155</v>
      </c>
    </row>
    <row r="125" spans="1:24" s="24" customFormat="1" ht="15.75" customHeight="1">
      <c r="A125" s="66">
        <f t="shared" si="8"/>
        <v>101</v>
      </c>
      <c r="B125" s="164" t="s">
        <v>173</v>
      </c>
      <c r="C125" s="47" t="s">
        <v>115</v>
      </c>
      <c r="D125" s="47"/>
      <c r="E125" s="195"/>
      <c r="F125" s="94">
        <v>2714.8</v>
      </c>
      <c r="G125" s="151">
        <v>2500.5</v>
      </c>
      <c r="H125" s="50">
        <f>I125+J125+K125+L125+M125+N125+O125</f>
        <v>2681661.23</v>
      </c>
      <c r="I125" s="50">
        <v>0</v>
      </c>
      <c r="J125" s="50">
        <v>0</v>
      </c>
      <c r="K125" s="38">
        <f>ROUND(1072.45*G125,2)-O125</f>
        <v>2607086.41</v>
      </c>
      <c r="L125" s="49">
        <v>0</v>
      </c>
      <c r="M125" s="50">
        <v>0</v>
      </c>
      <c r="N125" s="50">
        <v>0</v>
      </c>
      <c r="O125" s="50">
        <v>74574.820000000007</v>
      </c>
      <c r="P125" s="50">
        <v>0</v>
      </c>
      <c r="Q125" s="50">
        <v>0</v>
      </c>
      <c r="R125" s="50">
        <v>0</v>
      </c>
      <c r="S125" s="94">
        <f>H125</f>
        <v>2681661.23</v>
      </c>
      <c r="T125" s="66">
        <v>2017</v>
      </c>
      <c r="U125" s="66">
        <v>2017</v>
      </c>
      <c r="V125" s="152" t="s">
        <v>144</v>
      </c>
      <c r="W125" s="153">
        <v>5</v>
      </c>
      <c r="X125" s="172" t="s">
        <v>155</v>
      </c>
    </row>
    <row r="126" spans="1:24" s="24" customFormat="1" ht="15.75" customHeight="1">
      <c r="A126" s="66">
        <f t="shared" si="8"/>
        <v>102</v>
      </c>
      <c r="B126" s="164" t="s">
        <v>172</v>
      </c>
      <c r="C126" s="37" t="s">
        <v>63</v>
      </c>
      <c r="D126" s="37"/>
      <c r="E126" s="214"/>
      <c r="F126" s="94">
        <v>692.2</v>
      </c>
      <c r="G126" s="151">
        <v>643.79999999999995</v>
      </c>
      <c r="H126" s="50">
        <f>I126+J126+K126+L126+M126+N126+O126</f>
        <v>2711453.83</v>
      </c>
      <c r="I126" s="50">
        <v>0</v>
      </c>
      <c r="J126" s="50">
        <v>0</v>
      </c>
      <c r="K126" s="49">
        <f>ROUND(4211.64*G126,2)-O126</f>
        <v>2637543.35</v>
      </c>
      <c r="L126" s="50">
        <v>0</v>
      </c>
      <c r="M126" s="50">
        <v>0</v>
      </c>
      <c r="N126" s="50">
        <v>0</v>
      </c>
      <c r="O126" s="50">
        <v>73910.48</v>
      </c>
      <c r="P126" s="50">
        <v>0</v>
      </c>
      <c r="Q126" s="50">
        <v>0</v>
      </c>
      <c r="R126" s="50">
        <v>0</v>
      </c>
      <c r="S126" s="94">
        <f>H126</f>
        <v>2711453.83</v>
      </c>
      <c r="T126" s="66">
        <v>2017</v>
      </c>
      <c r="U126" s="66">
        <v>2017</v>
      </c>
      <c r="V126" s="152" t="s">
        <v>145</v>
      </c>
      <c r="W126" s="153">
        <v>2</v>
      </c>
      <c r="X126" s="154" t="s">
        <v>156</v>
      </c>
    </row>
    <row r="127" spans="1:24" s="24" customFormat="1" ht="15.75" customHeight="1">
      <c r="A127" s="66">
        <f t="shared" si="8"/>
        <v>103</v>
      </c>
      <c r="B127" s="164" t="s">
        <v>174</v>
      </c>
      <c r="C127" s="47" t="s">
        <v>63</v>
      </c>
      <c r="D127" s="47"/>
      <c r="E127" s="195"/>
      <c r="F127" s="94">
        <v>2559.6</v>
      </c>
      <c r="G127" s="151">
        <v>2551.1999999999998</v>
      </c>
      <c r="H127" s="50">
        <f>I127+J127+K127+L127+M127+N127+O127</f>
        <v>2736034.44</v>
      </c>
      <c r="I127" s="50">
        <v>0</v>
      </c>
      <c r="J127" s="50">
        <v>0</v>
      </c>
      <c r="K127" s="38">
        <f>ROUND(1072.45*G127,2)-O127</f>
        <v>2661847.84</v>
      </c>
      <c r="L127" s="49">
        <v>0</v>
      </c>
      <c r="M127" s="50">
        <v>0</v>
      </c>
      <c r="N127" s="50">
        <v>0</v>
      </c>
      <c r="O127" s="50">
        <v>74186.600000000006</v>
      </c>
      <c r="P127" s="50">
        <v>0</v>
      </c>
      <c r="Q127" s="50">
        <v>0</v>
      </c>
      <c r="R127" s="50">
        <v>0</v>
      </c>
      <c r="S127" s="94">
        <f>H127</f>
        <v>2736034.44</v>
      </c>
      <c r="T127" s="66">
        <v>2017</v>
      </c>
      <c r="U127" s="66">
        <v>2017</v>
      </c>
      <c r="V127" s="152" t="s">
        <v>144</v>
      </c>
      <c r="W127" s="153">
        <v>5</v>
      </c>
      <c r="X127" s="172" t="s">
        <v>155</v>
      </c>
    </row>
    <row r="128" spans="1:24" s="24" customFormat="1" ht="15.75" customHeight="1">
      <c r="A128" s="66">
        <f t="shared" ref="A128:A189" si="9">A127+1</f>
        <v>104</v>
      </c>
      <c r="B128" s="164" t="s">
        <v>44</v>
      </c>
      <c r="C128" s="47" t="s">
        <v>93</v>
      </c>
      <c r="D128" s="47"/>
      <c r="E128" s="195"/>
      <c r="F128" s="94">
        <v>1589.7</v>
      </c>
      <c r="G128" s="151">
        <v>1589.7</v>
      </c>
      <c r="H128" s="50">
        <f>I128+J128+K128+L128+M128+N128+O128</f>
        <v>487624.57999999996</v>
      </c>
      <c r="I128" s="50">
        <v>0</v>
      </c>
      <c r="J128" s="50">
        <v>0</v>
      </c>
      <c r="K128" s="50">
        <v>0</v>
      </c>
      <c r="L128" s="49">
        <v>0</v>
      </c>
      <c r="M128" s="50">
        <f>ROUND(306.74*G128,2)-O128</f>
        <v>458367.11</v>
      </c>
      <c r="N128" s="50">
        <v>0</v>
      </c>
      <c r="O128" s="50">
        <v>29257.47</v>
      </c>
      <c r="P128" s="50">
        <v>0</v>
      </c>
      <c r="Q128" s="50">
        <v>0</v>
      </c>
      <c r="R128" s="50">
        <v>0</v>
      </c>
      <c r="S128" s="94">
        <f>H128</f>
        <v>487624.57999999996</v>
      </c>
      <c r="T128" s="66">
        <v>2017</v>
      </c>
      <c r="U128" s="66">
        <v>2017</v>
      </c>
      <c r="V128" s="152" t="s">
        <v>144</v>
      </c>
      <c r="W128" s="153">
        <v>5</v>
      </c>
      <c r="X128" s="154" t="s">
        <v>156</v>
      </c>
    </row>
    <row r="129" spans="1:24" s="24" customFormat="1" ht="15.75" customHeight="1">
      <c r="A129" s="66">
        <f t="shared" si="9"/>
        <v>105</v>
      </c>
      <c r="B129" s="164" t="s">
        <v>229</v>
      </c>
      <c r="C129" s="47" t="s">
        <v>71</v>
      </c>
      <c r="D129" s="47"/>
      <c r="E129" s="195"/>
      <c r="F129" s="94">
        <v>5829</v>
      </c>
      <c r="G129" s="151">
        <v>4469.2</v>
      </c>
      <c r="H129" s="50">
        <f>I129+J129+K129+L129+M129+N129+O129</f>
        <v>8579746.6999999993</v>
      </c>
      <c r="I129" s="50">
        <f>ROUND((191.67+290.35+292.97)*G129,2)-178470.37</f>
        <v>3285114.94</v>
      </c>
      <c r="J129" s="50">
        <v>0</v>
      </c>
      <c r="K129" s="50">
        <v>0</v>
      </c>
      <c r="L129" s="49">
        <v>0</v>
      </c>
      <c r="M129" s="49">
        <f>ROUND(1144.76*G129,2)-263623.71</f>
        <v>4852537.68</v>
      </c>
      <c r="N129" s="50">
        <v>0</v>
      </c>
      <c r="O129" s="50">
        <v>442094.08000000002</v>
      </c>
      <c r="P129" s="50">
        <v>0</v>
      </c>
      <c r="Q129" s="50">
        <v>0</v>
      </c>
      <c r="R129" s="50">
        <v>0</v>
      </c>
      <c r="S129" s="94">
        <f>H129</f>
        <v>8579746.6999999993</v>
      </c>
      <c r="T129" s="66">
        <v>2017</v>
      </c>
      <c r="U129" s="66">
        <v>2017</v>
      </c>
      <c r="V129" s="152" t="s">
        <v>145</v>
      </c>
      <c r="W129" s="153">
        <v>5</v>
      </c>
      <c r="X129" s="154" t="s">
        <v>156</v>
      </c>
    </row>
    <row r="130" spans="1:24" s="24" customFormat="1" ht="15.75" customHeight="1">
      <c r="A130" s="66">
        <f t="shared" si="9"/>
        <v>106</v>
      </c>
      <c r="B130" s="164" t="s">
        <v>227</v>
      </c>
      <c r="C130" s="47" t="s">
        <v>81</v>
      </c>
      <c r="D130" s="47"/>
      <c r="E130" s="195"/>
      <c r="F130" s="94">
        <v>5253.5</v>
      </c>
      <c r="G130" s="151">
        <v>4538.2</v>
      </c>
      <c r="H130" s="50">
        <f>I130+J130+K130+L130+M130+N130+O130</f>
        <v>1732957.05</v>
      </c>
      <c r="I130" s="50">
        <f>ROUND(381.86*G130,2)-O130</f>
        <v>1628979.6300000001</v>
      </c>
      <c r="J130" s="50">
        <v>0</v>
      </c>
      <c r="K130" s="50">
        <v>0</v>
      </c>
      <c r="L130" s="49">
        <v>0</v>
      </c>
      <c r="M130" s="50">
        <v>0</v>
      </c>
      <c r="N130" s="50">
        <v>0</v>
      </c>
      <c r="O130" s="50">
        <v>103977.42</v>
      </c>
      <c r="P130" s="50">
        <v>0</v>
      </c>
      <c r="Q130" s="50">
        <v>0</v>
      </c>
      <c r="R130" s="50">
        <v>0</v>
      </c>
      <c r="S130" s="94">
        <f>H130</f>
        <v>1732957.05</v>
      </c>
      <c r="T130" s="66">
        <v>2017</v>
      </c>
      <c r="U130" s="66">
        <v>2017</v>
      </c>
      <c r="V130" s="152" t="s">
        <v>145</v>
      </c>
      <c r="W130" s="153">
        <v>5</v>
      </c>
      <c r="X130" s="154" t="s">
        <v>155</v>
      </c>
    </row>
    <row r="131" spans="1:24" s="24" customFormat="1" ht="15.75" customHeight="1">
      <c r="A131" s="66">
        <f t="shared" si="9"/>
        <v>107</v>
      </c>
      <c r="B131" s="164" t="s">
        <v>230</v>
      </c>
      <c r="C131" s="47" t="s">
        <v>55</v>
      </c>
      <c r="D131" s="47"/>
      <c r="E131" s="195"/>
      <c r="F131" s="94">
        <v>3340.2</v>
      </c>
      <c r="G131" s="151">
        <v>3094.1</v>
      </c>
      <c r="H131" s="50">
        <f>I131+J131+K131+L131+M131+N131+O131</f>
        <v>3267833.72</v>
      </c>
      <c r="I131" s="50">
        <v>0</v>
      </c>
      <c r="J131" s="50">
        <v>0</v>
      </c>
      <c r="K131" s="71">
        <f>ROUND(1056.15*G131,2)-O131</f>
        <v>3186788.9600000004</v>
      </c>
      <c r="L131" s="49">
        <v>0</v>
      </c>
      <c r="M131" s="50">
        <v>0</v>
      </c>
      <c r="N131" s="50">
        <v>0</v>
      </c>
      <c r="O131" s="50">
        <v>81044.759999999995</v>
      </c>
      <c r="P131" s="50">
        <v>0</v>
      </c>
      <c r="Q131" s="50">
        <v>0</v>
      </c>
      <c r="R131" s="50">
        <v>0</v>
      </c>
      <c r="S131" s="94">
        <f>H131</f>
        <v>3267833.72</v>
      </c>
      <c r="T131" s="66">
        <v>2017</v>
      </c>
      <c r="U131" s="66">
        <v>2017</v>
      </c>
      <c r="V131" s="152" t="s">
        <v>145</v>
      </c>
      <c r="W131" s="153">
        <v>6</v>
      </c>
      <c r="X131" s="154" t="s">
        <v>155</v>
      </c>
    </row>
    <row r="132" spans="1:24" s="24" customFormat="1" ht="15.75" customHeight="1">
      <c r="A132" s="66">
        <f t="shared" si="9"/>
        <v>108</v>
      </c>
      <c r="B132" s="164" t="s">
        <v>228</v>
      </c>
      <c r="C132" s="47" t="s">
        <v>93</v>
      </c>
      <c r="D132" s="47"/>
      <c r="E132" s="195"/>
      <c r="F132" s="94">
        <v>3957</v>
      </c>
      <c r="G132" s="151">
        <v>3912.6</v>
      </c>
      <c r="H132" s="50">
        <f>I132+J132+K132+L132+M132+N132+O132</f>
        <v>1494065.44</v>
      </c>
      <c r="I132" s="50">
        <f>ROUND(381.86*G132,2)-O132</f>
        <v>1412002.3399999999</v>
      </c>
      <c r="J132" s="50">
        <v>0</v>
      </c>
      <c r="K132" s="50">
        <v>0</v>
      </c>
      <c r="L132" s="49">
        <v>0</v>
      </c>
      <c r="M132" s="50">
        <v>0</v>
      </c>
      <c r="N132" s="50">
        <v>0</v>
      </c>
      <c r="O132" s="50">
        <v>82063.100000000006</v>
      </c>
      <c r="P132" s="50">
        <v>0</v>
      </c>
      <c r="Q132" s="50">
        <v>0</v>
      </c>
      <c r="R132" s="50">
        <v>0</v>
      </c>
      <c r="S132" s="94">
        <f>H132</f>
        <v>1494065.44</v>
      </c>
      <c r="T132" s="66">
        <v>2017</v>
      </c>
      <c r="U132" s="66">
        <v>2017</v>
      </c>
      <c r="V132" s="152" t="s">
        <v>145</v>
      </c>
      <c r="W132" s="153">
        <v>5</v>
      </c>
      <c r="X132" s="154" t="s">
        <v>155</v>
      </c>
    </row>
    <row r="133" spans="1:24" s="24" customFormat="1" ht="15.75" customHeight="1">
      <c r="A133" s="66">
        <f t="shared" si="9"/>
        <v>109</v>
      </c>
      <c r="B133" s="164" t="s">
        <v>231</v>
      </c>
      <c r="C133" s="47" t="s">
        <v>92</v>
      </c>
      <c r="D133" s="47"/>
      <c r="E133" s="195"/>
      <c r="F133" s="94">
        <v>7523.1</v>
      </c>
      <c r="G133" s="151">
        <v>7475.8</v>
      </c>
      <c r="H133" s="50">
        <f>I133+J133+K133+L133+M133+N133+O133</f>
        <v>5261019.49</v>
      </c>
      <c r="I133" s="50">
        <v>0</v>
      </c>
      <c r="J133" s="50">
        <v>0</v>
      </c>
      <c r="K133" s="49">
        <f>ROUND(703.74*G133,2)-O133</f>
        <v>5147157.75</v>
      </c>
      <c r="L133" s="49">
        <v>0</v>
      </c>
      <c r="M133" s="50">
        <v>0</v>
      </c>
      <c r="N133" s="50">
        <v>0</v>
      </c>
      <c r="O133" s="50">
        <v>113861.74</v>
      </c>
      <c r="P133" s="50">
        <v>0</v>
      </c>
      <c r="Q133" s="50">
        <v>0</v>
      </c>
      <c r="R133" s="50">
        <v>0</v>
      </c>
      <c r="S133" s="94">
        <f>H133</f>
        <v>5261019.49</v>
      </c>
      <c r="T133" s="66">
        <v>2017</v>
      </c>
      <c r="U133" s="66">
        <v>2017</v>
      </c>
      <c r="V133" s="152" t="s">
        <v>144</v>
      </c>
      <c r="W133" s="153">
        <v>9</v>
      </c>
      <c r="X133" s="154" t="s">
        <v>155</v>
      </c>
    </row>
    <row r="134" spans="1:24" s="24" customFormat="1" ht="15.75" customHeight="1">
      <c r="A134" s="66">
        <f t="shared" si="9"/>
        <v>110</v>
      </c>
      <c r="B134" s="164" t="s">
        <v>503</v>
      </c>
      <c r="C134" s="250">
        <v>1985</v>
      </c>
      <c r="D134" s="11"/>
      <c r="E134" s="11"/>
      <c r="F134" s="251">
        <v>3043.3</v>
      </c>
      <c r="G134" s="251">
        <v>2537.5</v>
      </c>
      <c r="H134" s="50">
        <f>I134+J134+K134+L134+M134+N134+O134</f>
        <v>1194502.75</v>
      </c>
      <c r="I134" s="50">
        <f>ROUND(470.74*G134,2)-O134</f>
        <v>1122832.58</v>
      </c>
      <c r="J134" s="50">
        <v>0</v>
      </c>
      <c r="K134" s="50">
        <v>0</v>
      </c>
      <c r="L134" s="50">
        <v>0</v>
      </c>
      <c r="M134" s="50">
        <v>0</v>
      </c>
      <c r="N134" s="50">
        <v>0</v>
      </c>
      <c r="O134" s="50">
        <v>71670.17</v>
      </c>
      <c r="P134" s="50">
        <v>0</v>
      </c>
      <c r="Q134" s="50">
        <v>0</v>
      </c>
      <c r="R134" s="50">
        <v>0</v>
      </c>
      <c r="S134" s="94">
        <f>H134</f>
        <v>1194502.75</v>
      </c>
      <c r="T134" s="66">
        <v>2017</v>
      </c>
      <c r="U134" s="66">
        <v>2017</v>
      </c>
      <c r="V134" s="152" t="s">
        <v>144</v>
      </c>
      <c r="W134" s="153">
        <v>9</v>
      </c>
      <c r="X134" s="154" t="s">
        <v>155</v>
      </c>
    </row>
    <row r="135" spans="1:24" s="24" customFormat="1" ht="15.75" customHeight="1">
      <c r="A135" s="66">
        <f t="shared" si="9"/>
        <v>111</v>
      </c>
      <c r="B135" s="164" t="s">
        <v>232</v>
      </c>
      <c r="C135" s="47" t="s">
        <v>92</v>
      </c>
      <c r="D135" s="47"/>
      <c r="E135" s="195"/>
      <c r="F135" s="94">
        <v>4084.5</v>
      </c>
      <c r="G135" s="151">
        <v>3805.9</v>
      </c>
      <c r="H135" s="50">
        <f>I135+J135+K135+L135+M135+N135+O135</f>
        <v>1525062.19</v>
      </c>
      <c r="I135" s="50">
        <f>ROUND(400.71*G135,2)-O135</f>
        <v>1433558.46</v>
      </c>
      <c r="J135" s="50">
        <v>0</v>
      </c>
      <c r="K135" s="50">
        <v>0</v>
      </c>
      <c r="L135" s="49">
        <v>0</v>
      </c>
      <c r="M135" s="50">
        <v>0</v>
      </c>
      <c r="N135" s="50">
        <v>0</v>
      </c>
      <c r="O135" s="50">
        <v>91503.73</v>
      </c>
      <c r="P135" s="50">
        <v>0</v>
      </c>
      <c r="Q135" s="50">
        <v>0</v>
      </c>
      <c r="R135" s="50">
        <v>0</v>
      </c>
      <c r="S135" s="94">
        <f>H135</f>
        <v>1525062.19</v>
      </c>
      <c r="T135" s="66">
        <v>2017</v>
      </c>
      <c r="U135" s="66">
        <v>2017</v>
      </c>
      <c r="V135" s="152" t="s">
        <v>144</v>
      </c>
      <c r="W135" s="153">
        <v>9</v>
      </c>
      <c r="X135" s="154" t="s">
        <v>155</v>
      </c>
    </row>
    <row r="136" spans="1:24" s="24" customFormat="1" ht="15.75" customHeight="1">
      <c r="A136" s="66">
        <f t="shared" si="9"/>
        <v>112</v>
      </c>
      <c r="B136" s="164" t="s">
        <v>236</v>
      </c>
      <c r="C136" s="47" t="s">
        <v>63</v>
      </c>
      <c r="D136" s="47"/>
      <c r="E136" s="195"/>
      <c r="F136" s="94">
        <v>2535</v>
      </c>
      <c r="G136" s="151">
        <v>2372.3000000000002</v>
      </c>
      <c r="H136" s="50">
        <f>I136+J136+K136+L136+M136+N136+O136</f>
        <v>688797.31</v>
      </c>
      <c r="I136" s="50">
        <f>ROUND(290.35*G136,2)-O136</f>
        <v>647469.47000000009</v>
      </c>
      <c r="J136" s="50">
        <v>0</v>
      </c>
      <c r="K136" s="50">
        <v>0</v>
      </c>
      <c r="L136" s="49">
        <v>0</v>
      </c>
      <c r="M136" s="50">
        <v>0</v>
      </c>
      <c r="N136" s="50">
        <v>0</v>
      </c>
      <c r="O136" s="50">
        <v>41327.839999999997</v>
      </c>
      <c r="P136" s="50">
        <v>0</v>
      </c>
      <c r="Q136" s="50">
        <v>0</v>
      </c>
      <c r="R136" s="50">
        <v>0</v>
      </c>
      <c r="S136" s="94">
        <f>H136</f>
        <v>688797.31</v>
      </c>
      <c r="T136" s="66">
        <v>2017</v>
      </c>
      <c r="U136" s="66">
        <v>2017</v>
      </c>
      <c r="V136" s="152" t="s">
        <v>145</v>
      </c>
      <c r="W136" s="153">
        <v>5</v>
      </c>
      <c r="X136" s="154" t="s">
        <v>156</v>
      </c>
    </row>
    <row r="137" spans="1:24" s="24" customFormat="1" ht="15.75" customHeight="1">
      <c r="A137" s="66">
        <f t="shared" si="9"/>
        <v>113</v>
      </c>
      <c r="B137" s="164" t="s">
        <v>161</v>
      </c>
      <c r="C137" s="47" t="s">
        <v>73</v>
      </c>
      <c r="D137" s="47"/>
      <c r="E137" s="195"/>
      <c r="F137" s="94">
        <v>808.7</v>
      </c>
      <c r="G137" s="151">
        <v>769.9</v>
      </c>
      <c r="H137" s="50">
        <f>I137+J137+K137+L137+M137+N137+O137</f>
        <v>825679.26</v>
      </c>
      <c r="I137" s="50">
        <v>0</v>
      </c>
      <c r="J137" s="50">
        <v>0</v>
      </c>
      <c r="K137" s="38">
        <f>ROUND(1072.45*G137,2)-O137</f>
        <v>776138.5</v>
      </c>
      <c r="L137" s="50">
        <v>0</v>
      </c>
      <c r="M137" s="50">
        <v>0</v>
      </c>
      <c r="N137" s="50">
        <v>0</v>
      </c>
      <c r="O137" s="50">
        <v>49540.76</v>
      </c>
      <c r="P137" s="50">
        <v>0</v>
      </c>
      <c r="Q137" s="50">
        <v>0</v>
      </c>
      <c r="R137" s="50">
        <v>0</v>
      </c>
      <c r="S137" s="94">
        <f>H137</f>
        <v>825679.26</v>
      </c>
      <c r="T137" s="66">
        <v>2017</v>
      </c>
      <c r="U137" s="66">
        <v>2017</v>
      </c>
      <c r="V137" s="152" t="s">
        <v>144</v>
      </c>
      <c r="W137" s="153">
        <v>3</v>
      </c>
      <c r="X137" s="154" t="s">
        <v>155</v>
      </c>
    </row>
    <row r="138" spans="1:24" s="24" customFormat="1" ht="15.75" customHeight="1">
      <c r="A138" s="66">
        <f t="shared" si="9"/>
        <v>114</v>
      </c>
      <c r="B138" s="164" t="s">
        <v>462</v>
      </c>
      <c r="C138" s="37" t="s">
        <v>459</v>
      </c>
      <c r="D138" s="37"/>
      <c r="E138" s="214"/>
      <c r="F138" s="94">
        <v>7417.1</v>
      </c>
      <c r="G138" s="151">
        <v>7400.9</v>
      </c>
      <c r="H138" s="50">
        <f>I138+J138+K138+L138+M138+N138+O138</f>
        <v>3162034.53</v>
      </c>
      <c r="I138" s="50">
        <v>0</v>
      </c>
      <c r="J138" s="50">
        <v>0</v>
      </c>
      <c r="K138" s="50">
        <v>0</v>
      </c>
      <c r="L138" s="50">
        <v>0</v>
      </c>
      <c r="M138" s="50">
        <f>ROUND(427.25*G138,2)-O138</f>
        <v>2987832.3099999996</v>
      </c>
      <c r="N138" s="50">
        <v>0</v>
      </c>
      <c r="O138" s="50">
        <v>174202.22</v>
      </c>
      <c r="P138" s="50">
        <v>0</v>
      </c>
      <c r="Q138" s="50">
        <v>0</v>
      </c>
      <c r="R138" s="50">
        <v>0</v>
      </c>
      <c r="S138" s="94">
        <f>H138</f>
        <v>3162034.53</v>
      </c>
      <c r="T138" s="66">
        <v>2017</v>
      </c>
      <c r="U138" s="66">
        <v>2017</v>
      </c>
      <c r="V138" s="152" t="s">
        <v>144</v>
      </c>
      <c r="W138" s="153">
        <v>9</v>
      </c>
      <c r="X138" s="154" t="s">
        <v>155</v>
      </c>
    </row>
    <row r="139" spans="1:24" s="24" customFormat="1" ht="15.75" customHeight="1">
      <c r="A139" s="66">
        <f t="shared" si="9"/>
        <v>115</v>
      </c>
      <c r="B139" s="164" t="s">
        <v>445</v>
      </c>
      <c r="C139" s="47" t="s">
        <v>92</v>
      </c>
      <c r="D139" s="47"/>
      <c r="E139" s="195"/>
      <c r="F139" s="94">
        <v>5302.4</v>
      </c>
      <c r="G139" s="151">
        <v>4769.8</v>
      </c>
      <c r="H139" s="50">
        <f>I139+J139+K139+L139+M139+N139+O139</f>
        <v>5906681.8300000001</v>
      </c>
      <c r="I139" s="50">
        <f>ROUND((229.94+304.67)*G139,2)-152998.97</f>
        <v>2396983.8099999996</v>
      </c>
      <c r="J139" s="50">
        <v>0</v>
      </c>
      <c r="K139" s="49">
        <f>ROUND(703.74*G139,2)-201401.94</f>
        <v>3155297.11</v>
      </c>
      <c r="L139" s="49">
        <v>0</v>
      </c>
      <c r="M139" s="50">
        <v>0</v>
      </c>
      <c r="N139" s="50">
        <v>0</v>
      </c>
      <c r="O139" s="50">
        <v>354400.91</v>
      </c>
      <c r="P139" s="50">
        <v>0</v>
      </c>
      <c r="Q139" s="50">
        <v>0</v>
      </c>
      <c r="R139" s="50">
        <v>0</v>
      </c>
      <c r="S139" s="94">
        <f>H139</f>
        <v>5906681.8300000001</v>
      </c>
      <c r="T139" s="66">
        <v>2017</v>
      </c>
      <c r="U139" s="66">
        <v>2017</v>
      </c>
      <c r="V139" s="152" t="s">
        <v>144</v>
      </c>
      <c r="W139" s="153">
        <v>9</v>
      </c>
      <c r="X139" s="154" t="s">
        <v>155</v>
      </c>
    </row>
    <row r="140" spans="1:24" s="24" customFormat="1" ht="15.75" customHeight="1">
      <c r="A140" s="66">
        <f t="shared" si="9"/>
        <v>116</v>
      </c>
      <c r="B140" s="164" t="s">
        <v>215</v>
      </c>
      <c r="C140" s="47" t="s">
        <v>21</v>
      </c>
      <c r="D140" s="47"/>
      <c r="E140" s="195"/>
      <c r="F140" s="94">
        <v>1632.2</v>
      </c>
      <c r="G140" s="151">
        <v>1218.0999999999999</v>
      </c>
      <c r="H140" s="50">
        <f>I140+J140+K140+L140+M140+N140+O140</f>
        <v>1822009.62</v>
      </c>
      <c r="I140" s="50">
        <f>ROUND((229.94+304.67+270.85+690.32)*G140,2)-O140</f>
        <v>1749239.02</v>
      </c>
      <c r="J140" s="50">
        <v>0</v>
      </c>
      <c r="K140" s="50">
        <v>0</v>
      </c>
      <c r="L140" s="49">
        <v>0</v>
      </c>
      <c r="M140" s="50">
        <v>0</v>
      </c>
      <c r="N140" s="50">
        <v>0</v>
      </c>
      <c r="O140" s="50">
        <v>72770.600000000006</v>
      </c>
      <c r="P140" s="50">
        <v>0</v>
      </c>
      <c r="Q140" s="50">
        <v>0</v>
      </c>
      <c r="R140" s="50">
        <v>0</v>
      </c>
      <c r="S140" s="94">
        <f>H140</f>
        <v>1822009.62</v>
      </c>
      <c r="T140" s="66">
        <v>2017</v>
      </c>
      <c r="U140" s="66">
        <v>2017</v>
      </c>
      <c r="V140" s="152" t="s">
        <v>144</v>
      </c>
      <c r="W140" s="153">
        <v>9</v>
      </c>
      <c r="X140" s="154" t="s">
        <v>155</v>
      </c>
    </row>
    <row r="141" spans="1:24" s="24" customFormat="1" ht="15.75" customHeight="1">
      <c r="A141" s="66">
        <f t="shared" si="9"/>
        <v>117</v>
      </c>
      <c r="B141" s="164" t="s">
        <v>249</v>
      </c>
      <c r="C141" s="47" t="s">
        <v>21</v>
      </c>
      <c r="D141" s="47"/>
      <c r="E141" s="195"/>
      <c r="F141" s="94">
        <v>5564.8</v>
      </c>
      <c r="G141" s="151">
        <v>5240.2</v>
      </c>
      <c r="H141" s="50">
        <f>I141+J141+K141+L141+M141+N141+O141</f>
        <v>3037801.66</v>
      </c>
      <c r="I141" s="50">
        <v>0</v>
      </c>
      <c r="J141" s="157">
        <v>3037801.66</v>
      </c>
      <c r="K141" s="50">
        <v>0</v>
      </c>
      <c r="L141" s="49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94">
        <f>H141</f>
        <v>3037801.66</v>
      </c>
      <c r="T141" s="66">
        <v>2017</v>
      </c>
      <c r="U141" s="66">
        <v>2017</v>
      </c>
      <c r="V141" s="152" t="s">
        <v>144</v>
      </c>
      <c r="W141" s="153">
        <v>9</v>
      </c>
      <c r="X141" s="154" t="s">
        <v>155</v>
      </c>
    </row>
    <row r="142" spans="1:24" s="24" customFormat="1" ht="15.75" customHeight="1">
      <c r="A142" s="66">
        <f t="shared" si="9"/>
        <v>118</v>
      </c>
      <c r="B142" s="164" t="s">
        <v>226</v>
      </c>
      <c r="C142" s="47" t="s">
        <v>457</v>
      </c>
      <c r="D142" s="47"/>
      <c r="E142" s="195"/>
      <c r="F142" s="94">
        <v>1050.7</v>
      </c>
      <c r="G142" s="151">
        <v>740.9</v>
      </c>
      <c r="H142" s="50">
        <f>I142+J142+K142+L142+M142+N142+O142</f>
        <v>794578.21</v>
      </c>
      <c r="I142" s="50">
        <v>0</v>
      </c>
      <c r="J142" s="50">
        <v>0</v>
      </c>
      <c r="K142" s="38">
        <f>ROUND(1072.45*G142,2)-O142</f>
        <v>746903.52</v>
      </c>
      <c r="L142" s="49">
        <v>0</v>
      </c>
      <c r="M142" s="50">
        <v>0</v>
      </c>
      <c r="N142" s="50">
        <v>0</v>
      </c>
      <c r="O142" s="50">
        <v>47674.69</v>
      </c>
      <c r="P142" s="50">
        <v>0</v>
      </c>
      <c r="Q142" s="50">
        <v>0</v>
      </c>
      <c r="R142" s="50">
        <v>0</v>
      </c>
      <c r="S142" s="94">
        <f>H142</f>
        <v>794578.21</v>
      </c>
      <c r="T142" s="66">
        <v>2017</v>
      </c>
      <c r="U142" s="66">
        <v>2017</v>
      </c>
      <c r="V142" s="152" t="s">
        <v>144</v>
      </c>
      <c r="W142" s="153">
        <v>3</v>
      </c>
      <c r="X142" s="154" t="s">
        <v>155</v>
      </c>
    </row>
    <row r="143" spans="1:24" s="24" customFormat="1" ht="15.75" customHeight="1">
      <c r="A143" s="66">
        <f t="shared" si="9"/>
        <v>119</v>
      </c>
      <c r="B143" s="164" t="s">
        <v>45</v>
      </c>
      <c r="C143" s="47" t="s">
        <v>460</v>
      </c>
      <c r="D143" s="47"/>
      <c r="E143" s="195"/>
      <c r="F143" s="94">
        <v>769.3</v>
      </c>
      <c r="G143" s="151">
        <v>696.6</v>
      </c>
      <c r="H143" s="50">
        <f>I143+J143+K143+L143+M143+N143+O143</f>
        <v>2933828.42</v>
      </c>
      <c r="I143" s="50">
        <v>0</v>
      </c>
      <c r="J143" s="50">
        <v>0</v>
      </c>
      <c r="K143" s="50">
        <f>ROUND(4211.64*G143,2)-O143</f>
        <v>2869740.26</v>
      </c>
      <c r="L143" s="50">
        <v>0</v>
      </c>
      <c r="M143" s="50">
        <v>0</v>
      </c>
      <c r="N143" s="50">
        <v>0</v>
      </c>
      <c r="O143" s="50">
        <v>64088.160000000003</v>
      </c>
      <c r="P143" s="50">
        <v>0</v>
      </c>
      <c r="Q143" s="50">
        <v>0</v>
      </c>
      <c r="R143" s="50">
        <v>0</v>
      </c>
      <c r="S143" s="94">
        <f>H143</f>
        <v>2933828.42</v>
      </c>
      <c r="T143" s="66">
        <v>2017</v>
      </c>
      <c r="U143" s="66">
        <v>2017</v>
      </c>
      <c r="V143" s="152" t="s">
        <v>153</v>
      </c>
      <c r="W143" s="153">
        <v>2</v>
      </c>
      <c r="X143" s="154" t="s">
        <v>156</v>
      </c>
    </row>
    <row r="144" spans="1:24" s="24" customFormat="1" ht="15.75" customHeight="1">
      <c r="A144" s="66">
        <f t="shared" si="9"/>
        <v>120</v>
      </c>
      <c r="B144" s="164" t="s">
        <v>106</v>
      </c>
      <c r="C144" s="37" t="s">
        <v>19</v>
      </c>
      <c r="D144" s="37"/>
      <c r="E144" s="214"/>
      <c r="F144" s="94">
        <v>4889.8</v>
      </c>
      <c r="G144" s="151">
        <v>3613.9</v>
      </c>
      <c r="H144" s="50">
        <f>I144+J144+K144+L144+M144+N144+O144</f>
        <v>4137048.16</v>
      </c>
      <c r="I144" s="50">
        <v>0</v>
      </c>
      <c r="J144" s="50">
        <v>0</v>
      </c>
      <c r="K144" s="50">
        <v>0</v>
      </c>
      <c r="L144" s="50">
        <v>0</v>
      </c>
      <c r="M144" s="49">
        <f>ROUND(1144.76*G144,2)-O144</f>
        <v>3962253.58</v>
      </c>
      <c r="N144" s="50">
        <v>0</v>
      </c>
      <c r="O144" s="50">
        <v>174794.58</v>
      </c>
      <c r="P144" s="50">
        <v>0</v>
      </c>
      <c r="Q144" s="50">
        <v>0</v>
      </c>
      <c r="R144" s="50">
        <v>0</v>
      </c>
      <c r="S144" s="94">
        <f>H144</f>
        <v>4137048.16</v>
      </c>
      <c r="T144" s="66">
        <v>2017</v>
      </c>
      <c r="U144" s="66">
        <v>2017</v>
      </c>
      <c r="V144" s="152" t="s">
        <v>145</v>
      </c>
      <c r="W144" s="153">
        <v>5</v>
      </c>
      <c r="X144" s="154" t="s">
        <v>156</v>
      </c>
    </row>
    <row r="145" spans="1:24" s="24" customFormat="1" ht="15.75" customHeight="1">
      <c r="A145" s="66">
        <f t="shared" si="9"/>
        <v>121</v>
      </c>
      <c r="B145" s="164" t="s">
        <v>46</v>
      </c>
      <c r="C145" s="47" t="s">
        <v>461</v>
      </c>
      <c r="D145" s="47"/>
      <c r="E145" s="195"/>
      <c r="F145" s="94">
        <v>1027.5</v>
      </c>
      <c r="G145" s="151">
        <v>1027.5</v>
      </c>
      <c r="H145" s="50">
        <f>I145+J145+K145+L145+M145+N145+O145</f>
        <v>1176240.8999999999</v>
      </c>
      <c r="I145" s="50">
        <v>0</v>
      </c>
      <c r="J145" s="50">
        <v>0</v>
      </c>
      <c r="K145" s="50">
        <v>0</v>
      </c>
      <c r="L145" s="49">
        <v>0</v>
      </c>
      <c r="M145" s="49">
        <f>ROUND(1144.76*G145,2)-O145</f>
        <v>1105666.45</v>
      </c>
      <c r="N145" s="50">
        <v>0</v>
      </c>
      <c r="O145" s="50">
        <v>70574.45</v>
      </c>
      <c r="P145" s="50">
        <v>0</v>
      </c>
      <c r="Q145" s="50">
        <v>0</v>
      </c>
      <c r="R145" s="50">
        <v>0</v>
      </c>
      <c r="S145" s="94">
        <f>H145</f>
        <v>1176240.8999999999</v>
      </c>
      <c r="T145" s="66">
        <v>2017</v>
      </c>
      <c r="U145" s="66">
        <v>2017</v>
      </c>
      <c r="V145" s="152" t="s">
        <v>145</v>
      </c>
      <c r="W145" s="153">
        <v>3</v>
      </c>
      <c r="X145" s="154" t="s">
        <v>156</v>
      </c>
    </row>
    <row r="146" spans="1:24" s="24" customFormat="1" ht="15.75" customHeight="1">
      <c r="A146" s="66">
        <f t="shared" si="9"/>
        <v>122</v>
      </c>
      <c r="B146" s="164" t="s">
        <v>169</v>
      </c>
      <c r="C146" s="37" t="s">
        <v>73</v>
      </c>
      <c r="D146" s="37"/>
      <c r="E146" s="214"/>
      <c r="F146" s="94">
        <v>1074.5999999999999</v>
      </c>
      <c r="G146" s="151">
        <v>761.2</v>
      </c>
      <c r="H146" s="50">
        <f>I146+J146+K146+L146+M146+N146+O146</f>
        <v>4231061.6900000004</v>
      </c>
      <c r="I146" s="50">
        <v>0</v>
      </c>
      <c r="J146" s="50">
        <v>0</v>
      </c>
      <c r="K146" s="49">
        <f>ROUND(4211.64*G146,2)</f>
        <v>3205900.37</v>
      </c>
      <c r="L146" s="50">
        <v>0</v>
      </c>
      <c r="M146" s="49">
        <f>ROUND(1346.77*G146,2)-O146</f>
        <v>959749.2</v>
      </c>
      <c r="N146" s="50">
        <v>0</v>
      </c>
      <c r="O146" s="50">
        <v>65412.12</v>
      </c>
      <c r="P146" s="50">
        <v>0</v>
      </c>
      <c r="Q146" s="50">
        <v>0</v>
      </c>
      <c r="R146" s="50">
        <v>0</v>
      </c>
      <c r="S146" s="94">
        <f>H146</f>
        <v>4231061.6900000004</v>
      </c>
      <c r="T146" s="66">
        <v>2017</v>
      </c>
      <c r="U146" s="66">
        <v>2017</v>
      </c>
      <c r="V146" s="152" t="s">
        <v>145</v>
      </c>
      <c r="W146" s="153">
        <v>2</v>
      </c>
      <c r="X146" s="154" t="s">
        <v>156</v>
      </c>
    </row>
    <row r="147" spans="1:24" s="24" customFormat="1" ht="15.75" customHeight="1">
      <c r="A147" s="66">
        <f t="shared" si="9"/>
        <v>123</v>
      </c>
      <c r="B147" s="164" t="s">
        <v>240</v>
      </c>
      <c r="C147" s="47" t="s">
        <v>73</v>
      </c>
      <c r="D147" s="47"/>
      <c r="E147" s="195"/>
      <c r="F147" s="94">
        <v>712.9</v>
      </c>
      <c r="G147" s="151">
        <v>640.5</v>
      </c>
      <c r="H147" s="50">
        <f>I147+J147+K147+L147+M147+N147+O147</f>
        <v>3560161.61</v>
      </c>
      <c r="I147" s="50">
        <v>0</v>
      </c>
      <c r="J147" s="50">
        <v>0</v>
      </c>
      <c r="K147" s="49">
        <f>ROUND(4211.64*G147,2)-48928.34</f>
        <v>2648627.08</v>
      </c>
      <c r="L147" s="49">
        <v>0</v>
      </c>
      <c r="M147" s="49">
        <f>ROUND(1346.77*G147,2)-15645.98</f>
        <v>846960.21</v>
      </c>
      <c r="N147" s="50">
        <v>0</v>
      </c>
      <c r="O147" s="50">
        <v>64574.32</v>
      </c>
      <c r="P147" s="50">
        <v>0</v>
      </c>
      <c r="Q147" s="50">
        <v>0</v>
      </c>
      <c r="R147" s="50">
        <v>0</v>
      </c>
      <c r="S147" s="94">
        <f>H147</f>
        <v>3560161.61</v>
      </c>
      <c r="T147" s="66">
        <v>2017</v>
      </c>
      <c r="U147" s="66">
        <v>2017</v>
      </c>
      <c r="V147" s="152" t="s">
        <v>145</v>
      </c>
      <c r="W147" s="153">
        <v>2</v>
      </c>
      <c r="X147" s="154" t="s">
        <v>156</v>
      </c>
    </row>
    <row r="148" spans="1:24" s="24" customFormat="1" ht="15.75" customHeight="1">
      <c r="A148" s="66">
        <f t="shared" si="9"/>
        <v>124</v>
      </c>
      <c r="B148" s="164" t="s">
        <v>479</v>
      </c>
      <c r="C148" s="250">
        <v>1959</v>
      </c>
      <c r="D148" s="11"/>
      <c r="E148" s="11"/>
      <c r="F148" s="251">
        <v>371.4</v>
      </c>
      <c r="G148" s="251">
        <v>305.02999999999997</v>
      </c>
      <c r="H148" s="50">
        <f>I148+J148+K148+L148+M148+N148+O148</f>
        <v>117637.87</v>
      </c>
      <c r="I148" s="50">
        <f>ROUND(385.66*G148,2)-O148</f>
        <v>110579.59999999999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7058.27</v>
      </c>
      <c r="P148" s="50">
        <v>0</v>
      </c>
      <c r="Q148" s="50">
        <v>0</v>
      </c>
      <c r="R148" s="50">
        <v>0</v>
      </c>
      <c r="S148" s="94">
        <f>H148</f>
        <v>117637.87</v>
      </c>
      <c r="T148" s="66">
        <v>2017</v>
      </c>
      <c r="U148" s="66">
        <v>2017</v>
      </c>
      <c r="V148" s="152" t="s">
        <v>145</v>
      </c>
      <c r="W148" s="153">
        <v>2</v>
      </c>
      <c r="X148" s="154" t="s">
        <v>156</v>
      </c>
    </row>
    <row r="149" spans="1:24" s="24" customFormat="1" ht="15.75" customHeight="1">
      <c r="A149" s="66">
        <f t="shared" si="9"/>
        <v>125</v>
      </c>
      <c r="B149" s="164" t="s">
        <v>214</v>
      </c>
      <c r="C149" s="47" t="s">
        <v>115</v>
      </c>
      <c r="D149" s="47"/>
      <c r="E149" s="195"/>
      <c r="F149" s="94">
        <v>620.4</v>
      </c>
      <c r="G149" s="151">
        <v>568.70000000000005</v>
      </c>
      <c r="H149" s="50">
        <f>I149+J149+K149+L149+M149+N149+O149</f>
        <v>879261.38</v>
      </c>
      <c r="I149" s="50">
        <f>ROUND((197.29+298.86+301.56+748.38)*G149,2)-O149</f>
        <v>838462.88</v>
      </c>
      <c r="J149" s="50">
        <v>0</v>
      </c>
      <c r="K149" s="50">
        <v>0</v>
      </c>
      <c r="L149" s="49">
        <v>0</v>
      </c>
      <c r="M149" s="50">
        <v>0</v>
      </c>
      <c r="N149" s="50"/>
      <c r="O149" s="50">
        <v>40798.5</v>
      </c>
      <c r="P149" s="50">
        <v>0</v>
      </c>
      <c r="Q149" s="50">
        <v>0</v>
      </c>
      <c r="R149" s="50">
        <v>0</v>
      </c>
      <c r="S149" s="94">
        <f>H149</f>
        <v>879261.38</v>
      </c>
      <c r="T149" s="66">
        <v>2017</v>
      </c>
      <c r="U149" s="66">
        <v>2017</v>
      </c>
      <c r="V149" s="152" t="s">
        <v>145</v>
      </c>
      <c r="W149" s="153">
        <v>2</v>
      </c>
      <c r="X149" s="154" t="s">
        <v>156</v>
      </c>
    </row>
    <row r="150" spans="1:24" s="24" customFormat="1" ht="15.75" customHeight="1">
      <c r="A150" s="66">
        <f t="shared" si="9"/>
        <v>126</v>
      </c>
      <c r="B150" s="164" t="s">
        <v>185</v>
      </c>
      <c r="C150" s="47" t="s">
        <v>62</v>
      </c>
      <c r="D150" s="47"/>
      <c r="E150" s="195"/>
      <c r="F150" s="94">
        <v>2996.2</v>
      </c>
      <c r="G150" s="151">
        <v>2967.2</v>
      </c>
      <c r="H150" s="50">
        <f>I150+J150+K150+L150+M150+N150+O150</f>
        <v>5433358.6099999994</v>
      </c>
      <c r="I150" s="50">
        <f>ROUND((191.67+290.35+292.97)*G150,2)-95032.08</f>
        <v>2204518.25</v>
      </c>
      <c r="J150" s="50">
        <v>0</v>
      </c>
      <c r="K150" s="71">
        <f>ROUND(1056.15*G150,2)-129508.94</f>
        <v>3004299.34</v>
      </c>
      <c r="L150" s="49">
        <v>0</v>
      </c>
      <c r="M150" s="50">
        <v>0</v>
      </c>
      <c r="N150" s="50">
        <v>0</v>
      </c>
      <c r="O150" s="50">
        <v>224541.02</v>
      </c>
      <c r="P150" s="50">
        <v>0</v>
      </c>
      <c r="Q150" s="50">
        <v>0</v>
      </c>
      <c r="R150" s="50">
        <v>0</v>
      </c>
      <c r="S150" s="94">
        <f>H150</f>
        <v>5433358.6099999994</v>
      </c>
      <c r="T150" s="66">
        <v>2017</v>
      </c>
      <c r="U150" s="66">
        <v>2017</v>
      </c>
      <c r="V150" s="152" t="s">
        <v>145</v>
      </c>
      <c r="W150" s="153">
        <v>5</v>
      </c>
      <c r="X150" s="154" t="s">
        <v>155</v>
      </c>
    </row>
    <row r="151" spans="1:24" s="24" customFormat="1" ht="15.75" customHeight="1">
      <c r="A151" s="66">
        <f t="shared" si="9"/>
        <v>127</v>
      </c>
      <c r="B151" s="163" t="s">
        <v>183</v>
      </c>
      <c r="C151" s="47" t="s">
        <v>62</v>
      </c>
      <c r="D151" s="47"/>
      <c r="E151" s="195"/>
      <c r="F151" s="94">
        <v>2998.7</v>
      </c>
      <c r="G151" s="173">
        <v>2982.5</v>
      </c>
      <c r="H151" s="50">
        <f>I151+J151+K151+L151+M151+N151+O151</f>
        <v>1437624.65</v>
      </c>
      <c r="I151" s="50">
        <f>ROUND((191.67+290.35)*G151,2)-O151</f>
        <v>1368861.3299999998</v>
      </c>
      <c r="J151" s="50">
        <v>0</v>
      </c>
      <c r="K151" s="50">
        <v>0</v>
      </c>
      <c r="L151" s="50">
        <v>0</v>
      </c>
      <c r="M151" s="50">
        <v>0</v>
      </c>
      <c r="N151" s="50">
        <v>0</v>
      </c>
      <c r="O151" s="50">
        <v>68763.320000000007</v>
      </c>
      <c r="P151" s="50">
        <v>0</v>
      </c>
      <c r="Q151" s="50">
        <v>0</v>
      </c>
      <c r="R151" s="50">
        <v>0</v>
      </c>
      <c r="S151" s="94">
        <f>H151</f>
        <v>1437624.65</v>
      </c>
      <c r="T151" s="66">
        <v>2017</v>
      </c>
      <c r="U151" s="66">
        <v>2017</v>
      </c>
      <c r="V151" s="174" t="s">
        <v>145</v>
      </c>
      <c r="W151" s="175">
        <v>5</v>
      </c>
      <c r="X151" s="176" t="s">
        <v>156</v>
      </c>
    </row>
    <row r="152" spans="1:24" s="24" customFormat="1" ht="15.75" customHeight="1">
      <c r="A152" s="66">
        <f t="shared" si="9"/>
        <v>128</v>
      </c>
      <c r="B152" s="163" t="s">
        <v>184</v>
      </c>
      <c r="C152" s="47" t="s">
        <v>62</v>
      </c>
      <c r="D152" s="47"/>
      <c r="E152" s="195"/>
      <c r="F152" s="94">
        <v>3033.6</v>
      </c>
      <c r="G152" s="151">
        <v>2791.6</v>
      </c>
      <c r="H152" s="50">
        <f>I152+J152+K152+L152+M152+N152+O152</f>
        <v>1345607.03</v>
      </c>
      <c r="I152" s="50">
        <f>ROUND((191.67+290.35)*G152,2)-O152</f>
        <v>1264870.6100000001</v>
      </c>
      <c r="J152" s="50">
        <v>0</v>
      </c>
      <c r="K152" s="50">
        <v>0</v>
      </c>
      <c r="L152" s="50">
        <v>0</v>
      </c>
      <c r="M152" s="50">
        <v>0</v>
      </c>
      <c r="N152" s="50">
        <v>0</v>
      </c>
      <c r="O152" s="50">
        <v>80736.42</v>
      </c>
      <c r="P152" s="50">
        <v>0</v>
      </c>
      <c r="Q152" s="50">
        <v>0</v>
      </c>
      <c r="R152" s="50">
        <v>0</v>
      </c>
      <c r="S152" s="94">
        <f>H152</f>
        <v>1345607.03</v>
      </c>
      <c r="T152" s="66">
        <v>2017</v>
      </c>
      <c r="U152" s="66">
        <v>2017</v>
      </c>
      <c r="V152" s="152" t="s">
        <v>145</v>
      </c>
      <c r="W152" s="153">
        <v>5</v>
      </c>
      <c r="X152" s="154" t="s">
        <v>155</v>
      </c>
    </row>
    <row r="153" spans="1:24" s="24" customFormat="1" ht="15.75" customHeight="1">
      <c r="A153" s="66">
        <f t="shared" si="9"/>
        <v>129</v>
      </c>
      <c r="B153" s="163" t="s">
        <v>182</v>
      </c>
      <c r="C153" s="47" t="s">
        <v>62</v>
      </c>
      <c r="D153" s="47"/>
      <c r="E153" s="195"/>
      <c r="F153" s="94">
        <v>3167.3</v>
      </c>
      <c r="G153" s="151">
        <v>2986.8</v>
      </c>
      <c r="H153" s="50">
        <f>I153+J153+K153+L153+M153+N153+O153</f>
        <v>2314740.13</v>
      </c>
      <c r="I153" s="50">
        <f>ROUND((191.67+290.35+292.97)*G153,2)-O153</f>
        <v>2211499.5699999998</v>
      </c>
      <c r="J153" s="50">
        <v>0</v>
      </c>
      <c r="K153" s="50">
        <v>0</v>
      </c>
      <c r="L153" s="50">
        <v>0</v>
      </c>
      <c r="M153" s="50">
        <v>0</v>
      </c>
      <c r="N153" s="50">
        <v>0</v>
      </c>
      <c r="O153" s="50">
        <v>103240.56</v>
      </c>
      <c r="P153" s="50">
        <v>0</v>
      </c>
      <c r="Q153" s="50">
        <v>0</v>
      </c>
      <c r="R153" s="50">
        <v>0</v>
      </c>
      <c r="S153" s="94">
        <f>H153</f>
        <v>2314740.13</v>
      </c>
      <c r="T153" s="66">
        <v>2017</v>
      </c>
      <c r="U153" s="66">
        <v>2017</v>
      </c>
      <c r="V153" s="152" t="s">
        <v>145</v>
      </c>
      <c r="W153" s="153">
        <v>5</v>
      </c>
      <c r="X153" s="154" t="s">
        <v>155</v>
      </c>
    </row>
    <row r="154" spans="1:24" s="24" customFormat="1" ht="15.75" customHeight="1">
      <c r="A154" s="66">
        <f t="shared" si="9"/>
        <v>130</v>
      </c>
      <c r="B154" s="163" t="s">
        <v>186</v>
      </c>
      <c r="C154" s="47" t="s">
        <v>62</v>
      </c>
      <c r="D154" s="47"/>
      <c r="E154" s="195"/>
      <c r="F154" s="94">
        <v>2962.9</v>
      </c>
      <c r="G154" s="151">
        <v>2954.6</v>
      </c>
      <c r="H154" s="50">
        <f>I154+J154+K154+L154+M154+N154+O154</f>
        <v>5410286.2400000012</v>
      </c>
      <c r="I154" s="50">
        <f>ROUND((191.67+290.35+292.97)*G154,2)-94517.19</f>
        <v>2195268.2600000002</v>
      </c>
      <c r="J154" s="50">
        <v>0</v>
      </c>
      <c r="K154" s="71">
        <f>ROUND(1056.15*G154,2)-128807.25</f>
        <v>2991693.54</v>
      </c>
      <c r="L154" s="49">
        <v>0</v>
      </c>
      <c r="M154" s="50">
        <v>0</v>
      </c>
      <c r="N154" s="50">
        <v>0</v>
      </c>
      <c r="O154" s="50">
        <v>223324.44</v>
      </c>
      <c r="P154" s="50">
        <v>0</v>
      </c>
      <c r="Q154" s="50">
        <v>0</v>
      </c>
      <c r="R154" s="50">
        <v>0</v>
      </c>
      <c r="S154" s="94">
        <f>H154</f>
        <v>5410286.2400000012</v>
      </c>
      <c r="T154" s="66">
        <v>2017</v>
      </c>
      <c r="U154" s="66">
        <v>2017</v>
      </c>
      <c r="V154" s="152" t="s">
        <v>145</v>
      </c>
      <c r="W154" s="153">
        <v>5</v>
      </c>
      <c r="X154" s="154" t="s">
        <v>155</v>
      </c>
    </row>
    <row r="155" spans="1:24" s="24" customFormat="1" ht="15.75" customHeight="1">
      <c r="A155" s="66">
        <f t="shared" si="9"/>
        <v>131</v>
      </c>
      <c r="B155" s="163" t="s">
        <v>243</v>
      </c>
      <c r="C155" s="47" t="s">
        <v>89</v>
      </c>
      <c r="D155" s="47"/>
      <c r="E155" s="195"/>
      <c r="F155" s="94">
        <v>3732.1</v>
      </c>
      <c r="G155" s="151">
        <v>3279.8</v>
      </c>
      <c r="H155" s="50">
        <f>I155+J155+K155+L155+M155+N155+O155</f>
        <v>2541812.2000000002</v>
      </c>
      <c r="I155" s="50">
        <f>ROUND((191.67+290.35+292.97)*G155,2)-O155</f>
        <v>2389303.4700000002</v>
      </c>
      <c r="J155" s="50">
        <v>0</v>
      </c>
      <c r="K155" s="50">
        <v>0</v>
      </c>
      <c r="L155" s="49">
        <v>0</v>
      </c>
      <c r="M155" s="50">
        <v>0</v>
      </c>
      <c r="N155" s="50">
        <v>0</v>
      </c>
      <c r="O155" s="50">
        <v>152508.73000000001</v>
      </c>
      <c r="P155" s="50">
        <v>0</v>
      </c>
      <c r="Q155" s="50">
        <v>0</v>
      </c>
      <c r="R155" s="50">
        <v>0</v>
      </c>
      <c r="S155" s="94">
        <f>H155</f>
        <v>2541812.2000000002</v>
      </c>
      <c r="T155" s="66">
        <v>2017</v>
      </c>
      <c r="U155" s="66">
        <v>2017</v>
      </c>
      <c r="V155" s="152" t="s">
        <v>145</v>
      </c>
      <c r="W155" s="153">
        <v>5</v>
      </c>
      <c r="X155" s="154" t="s">
        <v>155</v>
      </c>
    </row>
    <row r="156" spans="1:24" s="24" customFormat="1" ht="15.75" customHeight="1">
      <c r="A156" s="66">
        <f t="shared" si="9"/>
        <v>132</v>
      </c>
      <c r="B156" s="163" t="s">
        <v>208</v>
      </c>
      <c r="C156" s="47" t="s">
        <v>94</v>
      </c>
      <c r="D156" s="47"/>
      <c r="E156" s="195"/>
      <c r="F156" s="94">
        <v>1852.6</v>
      </c>
      <c r="G156" s="151">
        <v>1563.4</v>
      </c>
      <c r="H156" s="50">
        <f>I156+J156+K156+L156+M156+N156+O156</f>
        <v>1651184.91</v>
      </c>
      <c r="I156" s="50">
        <v>0</v>
      </c>
      <c r="J156" s="50">
        <v>0</v>
      </c>
      <c r="K156" s="71">
        <f>ROUND(1056.15*G156,2)-O156</f>
        <v>1594563.7899999998</v>
      </c>
      <c r="L156" s="49">
        <v>0</v>
      </c>
      <c r="M156" s="50">
        <v>0</v>
      </c>
      <c r="N156" s="50">
        <v>0</v>
      </c>
      <c r="O156" s="50">
        <v>56621.120000000003</v>
      </c>
      <c r="P156" s="50">
        <v>0</v>
      </c>
      <c r="Q156" s="50">
        <v>0</v>
      </c>
      <c r="R156" s="50">
        <v>0</v>
      </c>
      <c r="S156" s="94">
        <f>H156</f>
        <v>1651184.91</v>
      </c>
      <c r="T156" s="66">
        <v>2017</v>
      </c>
      <c r="U156" s="66">
        <v>2017</v>
      </c>
      <c r="V156" s="152" t="s">
        <v>145</v>
      </c>
      <c r="W156" s="153">
        <v>5</v>
      </c>
      <c r="X156" s="154" t="s">
        <v>155</v>
      </c>
    </row>
    <row r="157" spans="1:24" s="24" customFormat="1" ht="15.75" customHeight="1">
      <c r="A157" s="66">
        <f t="shared" si="9"/>
        <v>133</v>
      </c>
      <c r="B157" s="163" t="s">
        <v>205</v>
      </c>
      <c r="C157" s="47" t="s">
        <v>94</v>
      </c>
      <c r="D157" s="47"/>
      <c r="E157" s="195"/>
      <c r="F157" s="94">
        <v>4322.3999999999996</v>
      </c>
      <c r="G157" s="151">
        <v>4263</v>
      </c>
      <c r="H157" s="50">
        <f>I157+J157+K157+L157+M157+N157+O157</f>
        <v>4502367.45</v>
      </c>
      <c r="I157" s="50">
        <v>0</v>
      </c>
      <c r="J157" s="50">
        <v>0</v>
      </c>
      <c r="K157" s="71">
        <f>ROUND(1056.15*G157,2)-O157</f>
        <v>4409830.67</v>
      </c>
      <c r="L157" s="49">
        <v>0</v>
      </c>
      <c r="M157" s="50">
        <v>0</v>
      </c>
      <c r="N157" s="50">
        <v>0</v>
      </c>
      <c r="O157" s="50">
        <v>92536.78</v>
      </c>
      <c r="P157" s="50">
        <v>0</v>
      </c>
      <c r="Q157" s="50">
        <v>0</v>
      </c>
      <c r="R157" s="50">
        <v>0</v>
      </c>
      <c r="S157" s="94">
        <f>H157</f>
        <v>4502367.45</v>
      </c>
      <c r="T157" s="66">
        <v>2017</v>
      </c>
      <c r="U157" s="66">
        <v>2017</v>
      </c>
      <c r="V157" s="152" t="s">
        <v>145</v>
      </c>
      <c r="W157" s="153">
        <v>5</v>
      </c>
      <c r="X157" s="154" t="s">
        <v>155</v>
      </c>
    </row>
    <row r="158" spans="1:24" s="24" customFormat="1" ht="15.75" customHeight="1">
      <c r="A158" s="66">
        <f t="shared" si="9"/>
        <v>134</v>
      </c>
      <c r="B158" s="163" t="s">
        <v>206</v>
      </c>
      <c r="C158" s="47" t="s">
        <v>94</v>
      </c>
      <c r="D158" s="47"/>
      <c r="E158" s="195"/>
      <c r="F158" s="94">
        <v>3048.4</v>
      </c>
      <c r="G158" s="151">
        <v>3017</v>
      </c>
      <c r="H158" s="50">
        <f>I158+J158+K158+L158+M158+N158+O158</f>
        <v>3235581.65</v>
      </c>
      <c r="I158" s="50">
        <v>0</v>
      </c>
      <c r="J158" s="50">
        <v>0</v>
      </c>
      <c r="K158" s="38">
        <f>ROUND(1072.45*G158,2)-O158</f>
        <v>3162190.37</v>
      </c>
      <c r="L158" s="49">
        <v>0</v>
      </c>
      <c r="M158" s="50">
        <v>0</v>
      </c>
      <c r="N158" s="50">
        <v>0</v>
      </c>
      <c r="O158" s="50">
        <v>73391.28</v>
      </c>
      <c r="P158" s="50">
        <v>0</v>
      </c>
      <c r="Q158" s="50">
        <v>0</v>
      </c>
      <c r="R158" s="50">
        <v>0</v>
      </c>
      <c r="S158" s="94">
        <f>H158</f>
        <v>3235581.65</v>
      </c>
      <c r="T158" s="66">
        <v>2017</v>
      </c>
      <c r="U158" s="66">
        <v>2017</v>
      </c>
      <c r="V158" s="152" t="s">
        <v>144</v>
      </c>
      <c r="W158" s="153">
        <v>5</v>
      </c>
      <c r="X158" s="154" t="s">
        <v>155</v>
      </c>
    </row>
    <row r="159" spans="1:24" s="24" customFormat="1" ht="15.75" customHeight="1">
      <c r="A159" s="66">
        <f t="shared" si="9"/>
        <v>135</v>
      </c>
      <c r="B159" s="35" t="s">
        <v>207</v>
      </c>
      <c r="C159" s="211" t="s">
        <v>94</v>
      </c>
      <c r="D159" s="47"/>
      <c r="E159" s="195"/>
      <c r="F159" s="94">
        <v>4452.1000000000004</v>
      </c>
      <c r="G159" s="151">
        <v>4374.8999999999996</v>
      </c>
      <c r="H159" s="50">
        <f>I159+J159+K159+L159+M159+N159+O159</f>
        <v>4691861.51</v>
      </c>
      <c r="I159" s="50">
        <v>0</v>
      </c>
      <c r="J159" s="50">
        <v>0</v>
      </c>
      <c r="K159" s="38">
        <f>ROUND(1072.45*G159,2)-O159</f>
        <v>4580255.93</v>
      </c>
      <c r="L159" s="49">
        <v>0</v>
      </c>
      <c r="M159" s="50">
        <v>0</v>
      </c>
      <c r="N159" s="50">
        <v>0</v>
      </c>
      <c r="O159" s="50">
        <v>111605.58</v>
      </c>
      <c r="P159" s="50">
        <v>0</v>
      </c>
      <c r="Q159" s="50">
        <v>0</v>
      </c>
      <c r="R159" s="50">
        <v>0</v>
      </c>
      <c r="S159" s="94">
        <f>H159</f>
        <v>4691861.51</v>
      </c>
      <c r="T159" s="66">
        <v>2017</v>
      </c>
      <c r="U159" s="66">
        <v>2017</v>
      </c>
      <c r="V159" s="152" t="s">
        <v>144</v>
      </c>
      <c r="W159" s="153">
        <v>5</v>
      </c>
      <c r="X159" s="153" t="s">
        <v>155</v>
      </c>
    </row>
    <row r="160" spans="1:24" s="24" customFormat="1" ht="15.75" customHeight="1">
      <c r="A160" s="66">
        <f t="shared" si="9"/>
        <v>136</v>
      </c>
      <c r="B160" s="163" t="s">
        <v>35</v>
      </c>
      <c r="C160" s="47" t="s">
        <v>453</v>
      </c>
      <c r="D160" s="47"/>
      <c r="E160" s="195"/>
      <c r="F160" s="94">
        <v>5687.9</v>
      </c>
      <c r="G160" s="151">
        <v>5670.9</v>
      </c>
      <c r="H160" s="50">
        <f>I160+J160+K160+L160+M160+N160+O160</f>
        <v>2187039.29</v>
      </c>
      <c r="I160" s="50">
        <f>ROUND(385.66*G160,2)-O160</f>
        <v>2055816.9300000002</v>
      </c>
      <c r="J160" s="50">
        <v>0</v>
      </c>
      <c r="K160" s="50">
        <v>0</v>
      </c>
      <c r="L160" s="49">
        <v>0</v>
      </c>
      <c r="M160" s="50">
        <v>0</v>
      </c>
      <c r="N160" s="50">
        <v>0</v>
      </c>
      <c r="O160" s="50">
        <v>131222.35999999999</v>
      </c>
      <c r="P160" s="50">
        <v>0</v>
      </c>
      <c r="Q160" s="50">
        <v>0</v>
      </c>
      <c r="R160" s="50">
        <v>0</v>
      </c>
      <c r="S160" s="94">
        <f>H160</f>
        <v>2187039.29</v>
      </c>
      <c r="T160" s="66">
        <v>2017</v>
      </c>
      <c r="U160" s="66">
        <v>2017</v>
      </c>
      <c r="V160" s="152" t="s">
        <v>144</v>
      </c>
      <c r="W160" s="153">
        <v>5</v>
      </c>
      <c r="X160" s="153" t="s">
        <v>155</v>
      </c>
    </row>
    <row r="161" spans="1:24" s="24" customFormat="1" ht="15.75" customHeight="1">
      <c r="A161" s="66">
        <f t="shared" si="9"/>
        <v>137</v>
      </c>
      <c r="B161" s="163" t="s">
        <v>210</v>
      </c>
      <c r="C161" s="47" t="s">
        <v>452</v>
      </c>
      <c r="D161" s="47"/>
      <c r="E161" s="195"/>
      <c r="F161" s="94">
        <v>3600.2</v>
      </c>
      <c r="G161" s="151">
        <v>3153.7</v>
      </c>
      <c r="H161" s="50">
        <f>I161+J161+K161+L161+M161+N161+O161</f>
        <v>5786661.0599999996</v>
      </c>
      <c r="I161" s="49">
        <f>ROUND((332.83+727.06+191.67+290.35+292.97)*G161,2)-O161</f>
        <v>5695644.1199999992</v>
      </c>
      <c r="J161" s="50">
        <v>0</v>
      </c>
      <c r="K161" s="50">
        <v>0</v>
      </c>
      <c r="L161" s="49">
        <v>0</v>
      </c>
      <c r="M161" s="50">
        <v>0</v>
      </c>
      <c r="N161" s="50">
        <v>0</v>
      </c>
      <c r="O161" s="50">
        <v>91016.94</v>
      </c>
      <c r="P161" s="50">
        <v>0</v>
      </c>
      <c r="Q161" s="50">
        <v>0</v>
      </c>
      <c r="R161" s="50">
        <v>0</v>
      </c>
      <c r="S161" s="94">
        <f>H161</f>
        <v>5786661.0599999996</v>
      </c>
      <c r="T161" s="66">
        <v>2017</v>
      </c>
      <c r="U161" s="66">
        <v>2017</v>
      </c>
      <c r="V161" s="152" t="s">
        <v>145</v>
      </c>
      <c r="W161" s="153">
        <v>5</v>
      </c>
      <c r="X161" s="153" t="s">
        <v>155</v>
      </c>
    </row>
    <row r="162" spans="1:24" s="24" customFormat="1" ht="15.75" customHeight="1">
      <c r="A162" s="66">
        <f t="shared" si="9"/>
        <v>138</v>
      </c>
      <c r="B162" s="163" t="s">
        <v>211</v>
      </c>
      <c r="C162" s="47" t="s">
        <v>58</v>
      </c>
      <c r="D162" s="47"/>
      <c r="E162" s="195"/>
      <c r="F162" s="94">
        <v>1698.8</v>
      </c>
      <c r="G162" s="151">
        <v>1505.5</v>
      </c>
      <c r="H162" s="50">
        <f>I162+J162+K162+L162+M162+N162+O162</f>
        <v>2762411.84</v>
      </c>
      <c r="I162" s="49">
        <f>ROUND((332.83+727.06+191.67+290.35+292.97)*G162,2)-O162</f>
        <v>2698360.26</v>
      </c>
      <c r="J162" s="50">
        <v>0</v>
      </c>
      <c r="K162" s="50">
        <v>0</v>
      </c>
      <c r="L162" s="49">
        <v>0</v>
      </c>
      <c r="M162" s="50">
        <v>0</v>
      </c>
      <c r="N162" s="50">
        <v>0</v>
      </c>
      <c r="O162" s="50">
        <v>64051.58</v>
      </c>
      <c r="P162" s="50">
        <v>0</v>
      </c>
      <c r="Q162" s="50">
        <v>0</v>
      </c>
      <c r="R162" s="50">
        <v>0</v>
      </c>
      <c r="S162" s="94">
        <f>H162</f>
        <v>2762411.84</v>
      </c>
      <c r="T162" s="66">
        <v>2017</v>
      </c>
      <c r="U162" s="66">
        <v>2017</v>
      </c>
      <c r="V162" s="152" t="s">
        <v>145</v>
      </c>
      <c r="W162" s="153">
        <v>4</v>
      </c>
      <c r="X162" s="153" t="s">
        <v>155</v>
      </c>
    </row>
    <row r="163" spans="1:24" s="24" customFormat="1" ht="15.75" customHeight="1">
      <c r="A163" s="66">
        <f t="shared" si="9"/>
        <v>139</v>
      </c>
      <c r="B163" s="163" t="s">
        <v>235</v>
      </c>
      <c r="C163" s="47" t="s">
        <v>92</v>
      </c>
      <c r="D163" s="47"/>
      <c r="E163" s="195"/>
      <c r="F163" s="94">
        <v>2546.1</v>
      </c>
      <c r="G163" s="151">
        <v>2504.1</v>
      </c>
      <c r="H163" s="50">
        <f>I163+J163+K163+L163+M163+N163+O163</f>
        <v>1003417.91</v>
      </c>
      <c r="I163" s="50">
        <f>ROUND(400.71*G163,2)-O163</f>
        <v>943212.84000000008</v>
      </c>
      <c r="J163" s="50">
        <v>0</v>
      </c>
      <c r="K163" s="50">
        <v>0</v>
      </c>
      <c r="L163" s="49">
        <v>0</v>
      </c>
      <c r="M163" s="50">
        <v>0</v>
      </c>
      <c r="N163" s="50">
        <v>0</v>
      </c>
      <c r="O163" s="50">
        <v>60205.07</v>
      </c>
      <c r="P163" s="50">
        <v>0</v>
      </c>
      <c r="Q163" s="50">
        <v>0</v>
      </c>
      <c r="R163" s="50">
        <v>0</v>
      </c>
      <c r="S163" s="94">
        <f>H163</f>
        <v>1003417.91</v>
      </c>
      <c r="T163" s="66">
        <v>2017</v>
      </c>
      <c r="U163" s="66">
        <v>2017</v>
      </c>
      <c r="V163" s="152" t="s">
        <v>144</v>
      </c>
      <c r="W163" s="153">
        <v>9</v>
      </c>
      <c r="X163" s="153" t="s">
        <v>155</v>
      </c>
    </row>
    <row r="164" spans="1:24" s="24" customFormat="1" ht="15.75" customHeight="1">
      <c r="A164" s="66">
        <f t="shared" si="9"/>
        <v>140</v>
      </c>
      <c r="B164" s="163" t="s">
        <v>237</v>
      </c>
      <c r="C164" s="47" t="s">
        <v>91</v>
      </c>
      <c r="D164" s="47"/>
      <c r="E164" s="195"/>
      <c r="F164" s="94">
        <v>2537.6</v>
      </c>
      <c r="G164" s="151">
        <v>2494.8000000000002</v>
      </c>
      <c r="H164" s="50">
        <f>I164+J164+K164+L164+M164+N164+O164</f>
        <v>999691.31</v>
      </c>
      <c r="I164" s="50">
        <f>ROUND(400.71*G164,2)-O164</f>
        <v>941664.81</v>
      </c>
      <c r="J164" s="50">
        <v>0</v>
      </c>
      <c r="K164" s="50">
        <v>0</v>
      </c>
      <c r="L164" s="49">
        <v>0</v>
      </c>
      <c r="M164" s="50">
        <v>0</v>
      </c>
      <c r="N164" s="50">
        <v>0</v>
      </c>
      <c r="O164" s="50">
        <v>58026.5</v>
      </c>
      <c r="P164" s="50">
        <v>0</v>
      </c>
      <c r="Q164" s="50">
        <v>0</v>
      </c>
      <c r="R164" s="50">
        <v>0</v>
      </c>
      <c r="S164" s="94">
        <f>H164</f>
        <v>999691.31</v>
      </c>
      <c r="T164" s="66">
        <v>2017</v>
      </c>
      <c r="U164" s="66">
        <v>2017</v>
      </c>
      <c r="V164" s="152" t="s">
        <v>144</v>
      </c>
      <c r="W164" s="153">
        <v>9</v>
      </c>
      <c r="X164" s="154" t="s">
        <v>155</v>
      </c>
    </row>
    <row r="165" spans="1:24" s="24" customFormat="1" ht="15.75" customHeight="1">
      <c r="A165" s="66">
        <f t="shared" si="9"/>
        <v>141</v>
      </c>
      <c r="B165" s="163" t="s">
        <v>129</v>
      </c>
      <c r="C165" s="47" t="s">
        <v>74</v>
      </c>
      <c r="D165" s="47"/>
      <c r="E165" s="195"/>
      <c r="F165" s="94">
        <v>9393.9</v>
      </c>
      <c r="G165" s="151">
        <v>7167.8</v>
      </c>
      <c r="H165" s="50">
        <f>I165+J165+K165+L165+M165+N165+O165</f>
        <v>19988781.050000001</v>
      </c>
      <c r="I165" s="50">
        <v>0</v>
      </c>
      <c r="J165" s="157">
        <f>ROUND(2855540.15*7,2)</f>
        <v>19988781.050000001</v>
      </c>
      <c r="K165" s="50">
        <v>0</v>
      </c>
      <c r="L165" s="49">
        <v>0</v>
      </c>
      <c r="M165" s="50">
        <v>0</v>
      </c>
      <c r="N165" s="50">
        <v>0</v>
      </c>
      <c r="O165" s="50">
        <v>0</v>
      </c>
      <c r="P165" s="50">
        <v>0</v>
      </c>
      <c r="Q165" s="50">
        <v>0</v>
      </c>
      <c r="R165" s="50">
        <v>0</v>
      </c>
      <c r="S165" s="94">
        <f>H165</f>
        <v>19988781.050000001</v>
      </c>
      <c r="T165" s="66">
        <v>2017</v>
      </c>
      <c r="U165" s="66">
        <v>2017</v>
      </c>
      <c r="V165" s="152" t="s">
        <v>145</v>
      </c>
      <c r="W165" s="153">
        <v>8</v>
      </c>
      <c r="X165" s="153" t="s">
        <v>156</v>
      </c>
    </row>
    <row r="166" spans="1:24" s="24" customFormat="1" ht="15.75" customHeight="1">
      <c r="A166" s="66">
        <f t="shared" si="9"/>
        <v>142</v>
      </c>
      <c r="B166" s="163" t="s">
        <v>178</v>
      </c>
      <c r="C166" s="37" t="s">
        <v>457</v>
      </c>
      <c r="D166" s="37"/>
      <c r="E166" s="214"/>
      <c r="F166" s="94">
        <v>1615.1</v>
      </c>
      <c r="G166" s="151">
        <v>1235.5999999999999</v>
      </c>
      <c r="H166" s="50">
        <f>I166+J166+K166+L166+M166+N166+O166</f>
        <v>957577.64</v>
      </c>
      <c r="I166" s="50">
        <f>ROUND((191.67+290.35+292.97)*G166,2)-O166</f>
        <v>900122.98</v>
      </c>
      <c r="J166" s="50">
        <v>0</v>
      </c>
      <c r="K166" s="50">
        <v>0</v>
      </c>
      <c r="L166" s="50">
        <v>0</v>
      </c>
      <c r="M166" s="50">
        <v>0</v>
      </c>
      <c r="N166" s="50">
        <v>0</v>
      </c>
      <c r="O166" s="50">
        <v>57454.66</v>
      </c>
      <c r="P166" s="50">
        <v>0</v>
      </c>
      <c r="Q166" s="50">
        <v>0</v>
      </c>
      <c r="R166" s="50">
        <v>0</v>
      </c>
      <c r="S166" s="94">
        <f>H166</f>
        <v>957577.64</v>
      </c>
      <c r="T166" s="66">
        <v>2017</v>
      </c>
      <c r="U166" s="66">
        <v>2017</v>
      </c>
      <c r="V166" s="152" t="s">
        <v>145</v>
      </c>
      <c r="W166" s="153">
        <v>4</v>
      </c>
      <c r="X166" s="153" t="s">
        <v>156</v>
      </c>
    </row>
    <row r="167" spans="1:24" s="24" customFormat="1" ht="15.75" customHeight="1">
      <c r="A167" s="66">
        <f t="shared" si="9"/>
        <v>143</v>
      </c>
      <c r="B167" s="163" t="s">
        <v>177</v>
      </c>
      <c r="C167" s="37" t="s">
        <v>455</v>
      </c>
      <c r="D167" s="37"/>
      <c r="E167" s="214"/>
      <c r="F167" s="94">
        <v>2206.6999999999998</v>
      </c>
      <c r="G167" s="151">
        <v>1398.8</v>
      </c>
      <c r="H167" s="50">
        <f>I167+J167+K167+L167+M167+N167+O167</f>
        <v>1601290.29</v>
      </c>
      <c r="I167" s="50">
        <v>0</v>
      </c>
      <c r="J167" s="50">
        <v>0</v>
      </c>
      <c r="K167" s="50">
        <v>0</v>
      </c>
      <c r="L167" s="50">
        <v>0</v>
      </c>
      <c r="M167" s="49">
        <f>ROUND(1144.76*G167,2)-O167</f>
        <v>1505212.87</v>
      </c>
      <c r="N167" s="50">
        <v>0</v>
      </c>
      <c r="O167" s="50">
        <v>96077.42</v>
      </c>
      <c r="P167" s="50">
        <v>0</v>
      </c>
      <c r="Q167" s="50">
        <v>0</v>
      </c>
      <c r="R167" s="50">
        <v>0</v>
      </c>
      <c r="S167" s="94">
        <f>H167</f>
        <v>1601290.29</v>
      </c>
      <c r="T167" s="66">
        <v>2017</v>
      </c>
      <c r="U167" s="66">
        <v>2017</v>
      </c>
      <c r="V167" s="152" t="s">
        <v>145</v>
      </c>
      <c r="W167" s="153">
        <v>4</v>
      </c>
      <c r="X167" s="153" t="s">
        <v>156</v>
      </c>
    </row>
    <row r="168" spans="1:24" s="24" customFormat="1" ht="15.75" customHeight="1">
      <c r="A168" s="66">
        <f t="shared" si="9"/>
        <v>144</v>
      </c>
      <c r="B168" s="177" t="s">
        <v>47</v>
      </c>
      <c r="C168" s="47" t="s">
        <v>455</v>
      </c>
      <c r="D168" s="47"/>
      <c r="E168" s="195"/>
      <c r="F168" s="94">
        <v>3850.4</v>
      </c>
      <c r="G168" s="151">
        <v>3132.6</v>
      </c>
      <c r="H168" s="50">
        <f>I168+J168+K168+L168+M168+N168+O168</f>
        <v>3586075.18</v>
      </c>
      <c r="I168" s="50">
        <v>0</v>
      </c>
      <c r="J168" s="50">
        <v>0</v>
      </c>
      <c r="K168" s="50">
        <v>0</v>
      </c>
      <c r="L168" s="50">
        <v>0</v>
      </c>
      <c r="M168" s="49">
        <f>ROUND(1144.76*G168,2)-O168</f>
        <v>3425768.64</v>
      </c>
      <c r="N168" s="50">
        <v>0</v>
      </c>
      <c r="O168" s="50">
        <v>160306.54</v>
      </c>
      <c r="P168" s="50">
        <v>0</v>
      </c>
      <c r="Q168" s="50">
        <v>0</v>
      </c>
      <c r="R168" s="50">
        <v>0</v>
      </c>
      <c r="S168" s="94">
        <f>H168</f>
        <v>3586075.18</v>
      </c>
      <c r="T168" s="66">
        <v>2017</v>
      </c>
      <c r="U168" s="66">
        <v>2017</v>
      </c>
      <c r="V168" s="152" t="s">
        <v>145</v>
      </c>
      <c r="W168" s="153">
        <v>4</v>
      </c>
      <c r="X168" s="153" t="s">
        <v>156</v>
      </c>
    </row>
    <row r="169" spans="1:24" s="24" customFormat="1" ht="15.75" customHeight="1">
      <c r="A169" s="66">
        <f t="shared" si="9"/>
        <v>145</v>
      </c>
      <c r="B169" s="163" t="s">
        <v>179</v>
      </c>
      <c r="C169" s="47" t="s">
        <v>456</v>
      </c>
      <c r="D169" s="47"/>
      <c r="E169" s="195"/>
      <c r="F169" s="94">
        <v>2829.1</v>
      </c>
      <c r="G169" s="151">
        <v>2762.4</v>
      </c>
      <c r="H169" s="50">
        <f>I169+J169+K169+L169+M169+N169+O169</f>
        <v>2962535.88</v>
      </c>
      <c r="I169" s="50">
        <v>0</v>
      </c>
      <c r="J169" s="169">
        <v>0</v>
      </c>
      <c r="K169" s="38">
        <f>ROUND(1072.45*G169,2)-O169</f>
        <v>2880713.5</v>
      </c>
      <c r="L169" s="49">
        <v>0</v>
      </c>
      <c r="M169" s="50">
        <v>0</v>
      </c>
      <c r="N169" s="50">
        <v>0</v>
      </c>
      <c r="O169" s="50">
        <v>81822.38</v>
      </c>
      <c r="P169" s="50">
        <v>0</v>
      </c>
      <c r="Q169" s="50">
        <v>0</v>
      </c>
      <c r="R169" s="50">
        <v>0</v>
      </c>
      <c r="S169" s="94">
        <f>H169</f>
        <v>2962535.88</v>
      </c>
      <c r="T169" s="66">
        <v>2017</v>
      </c>
      <c r="U169" s="66">
        <v>2017</v>
      </c>
      <c r="V169" s="152" t="s">
        <v>144</v>
      </c>
      <c r="W169" s="153">
        <v>5</v>
      </c>
      <c r="X169" s="153" t="s">
        <v>155</v>
      </c>
    </row>
    <row r="170" spans="1:24" s="24" customFormat="1" ht="15.75" customHeight="1">
      <c r="A170" s="66">
        <f t="shared" si="9"/>
        <v>146</v>
      </c>
      <c r="B170" s="163" t="s">
        <v>446</v>
      </c>
      <c r="C170" s="47" t="s">
        <v>63</v>
      </c>
      <c r="D170" s="47"/>
      <c r="E170" s="195"/>
      <c r="F170" s="94">
        <v>2987.6</v>
      </c>
      <c r="G170" s="151">
        <v>2973.5</v>
      </c>
      <c r="H170" s="50">
        <f>I170+J170+K170+L170+M170+N170+O170</f>
        <v>2304432.77</v>
      </c>
      <c r="I170" s="50">
        <f>ROUND((191.67+290.35+292.97)*G170,2)-O170</f>
        <v>2172938.29</v>
      </c>
      <c r="J170" s="50">
        <v>0</v>
      </c>
      <c r="K170" s="50">
        <v>0</v>
      </c>
      <c r="L170" s="49">
        <v>0</v>
      </c>
      <c r="M170" s="50">
        <v>0</v>
      </c>
      <c r="N170" s="50">
        <v>0</v>
      </c>
      <c r="O170" s="50">
        <v>131494.48000000001</v>
      </c>
      <c r="P170" s="50">
        <v>0</v>
      </c>
      <c r="Q170" s="50">
        <v>0</v>
      </c>
      <c r="R170" s="50">
        <v>0</v>
      </c>
      <c r="S170" s="94">
        <f>H170</f>
        <v>2304432.77</v>
      </c>
      <c r="T170" s="66">
        <v>2017</v>
      </c>
      <c r="U170" s="66">
        <v>2017</v>
      </c>
      <c r="V170" s="152" t="s">
        <v>145</v>
      </c>
      <c r="W170" s="153">
        <v>5</v>
      </c>
      <c r="X170" s="153" t="s">
        <v>155</v>
      </c>
    </row>
    <row r="171" spans="1:24" s="24" customFormat="1" ht="15.75" customHeight="1">
      <c r="A171" s="66">
        <f t="shared" si="9"/>
        <v>147</v>
      </c>
      <c r="B171" s="163" t="s">
        <v>447</v>
      </c>
      <c r="C171" s="47" t="s">
        <v>63</v>
      </c>
      <c r="D171" s="47"/>
      <c r="E171" s="195"/>
      <c r="F171" s="94">
        <v>2959</v>
      </c>
      <c r="G171" s="151">
        <v>2945.3</v>
      </c>
      <c r="H171" s="50">
        <f>I171+J171+K171+L171+M171+N171+O171</f>
        <v>2282578.0499999998</v>
      </c>
      <c r="I171" s="50">
        <f>ROUND((191.67+290.35+292.97)*G171,2)-O171</f>
        <v>2179394.13</v>
      </c>
      <c r="J171" s="178">
        <v>0</v>
      </c>
      <c r="K171" s="50">
        <v>0</v>
      </c>
      <c r="L171" s="49">
        <v>0</v>
      </c>
      <c r="M171" s="50">
        <v>0</v>
      </c>
      <c r="N171" s="50">
        <v>0</v>
      </c>
      <c r="O171" s="50">
        <v>103183.92</v>
      </c>
      <c r="P171" s="50">
        <v>0</v>
      </c>
      <c r="Q171" s="50">
        <v>0</v>
      </c>
      <c r="R171" s="50">
        <v>0</v>
      </c>
      <c r="S171" s="94">
        <f>H171</f>
        <v>2282578.0499999998</v>
      </c>
      <c r="T171" s="66">
        <v>2017</v>
      </c>
      <c r="U171" s="66">
        <v>2017</v>
      </c>
      <c r="V171" s="152" t="s">
        <v>145</v>
      </c>
      <c r="W171" s="153">
        <v>5</v>
      </c>
      <c r="X171" s="153" t="s">
        <v>155</v>
      </c>
    </row>
    <row r="172" spans="1:24" s="24" customFormat="1" ht="15.75" customHeight="1">
      <c r="A172" s="66">
        <f t="shared" si="9"/>
        <v>148</v>
      </c>
      <c r="B172" s="163" t="s">
        <v>448</v>
      </c>
      <c r="C172" s="47" t="s">
        <v>63</v>
      </c>
      <c r="D172" s="47"/>
      <c r="E172" s="195"/>
      <c r="F172" s="94">
        <v>2495.6</v>
      </c>
      <c r="G172" s="151">
        <v>2481.6</v>
      </c>
      <c r="H172" s="50">
        <f>I172+J172+K172+L172+M172+N172+O172</f>
        <v>1923215.18</v>
      </c>
      <c r="I172" s="50">
        <f>ROUND((191.67+290.35+292.97)*G172,2)-O172</f>
        <v>1832274.94</v>
      </c>
      <c r="J172" s="178">
        <v>0</v>
      </c>
      <c r="K172" s="50">
        <v>0</v>
      </c>
      <c r="L172" s="49">
        <v>0</v>
      </c>
      <c r="M172" s="50">
        <v>0</v>
      </c>
      <c r="N172" s="50">
        <v>0</v>
      </c>
      <c r="O172" s="50">
        <v>90940.24</v>
      </c>
      <c r="P172" s="50">
        <v>0</v>
      </c>
      <c r="Q172" s="50">
        <v>0</v>
      </c>
      <c r="R172" s="50">
        <v>0</v>
      </c>
      <c r="S172" s="94">
        <f>H172</f>
        <v>1923215.18</v>
      </c>
      <c r="T172" s="66">
        <v>2017</v>
      </c>
      <c r="U172" s="66">
        <v>2017</v>
      </c>
      <c r="V172" s="152" t="s">
        <v>145</v>
      </c>
      <c r="W172" s="153">
        <v>5</v>
      </c>
      <c r="X172" s="154" t="s">
        <v>155</v>
      </c>
    </row>
    <row r="173" spans="1:24" s="24" customFormat="1" ht="15.75" customHeight="1">
      <c r="A173" s="66">
        <f t="shared" si="9"/>
        <v>149</v>
      </c>
      <c r="B173" s="163" t="s">
        <v>449</v>
      </c>
      <c r="C173" s="47" t="s">
        <v>63</v>
      </c>
      <c r="D173" s="47"/>
      <c r="E173" s="195"/>
      <c r="F173" s="94">
        <v>2979</v>
      </c>
      <c r="G173" s="151">
        <v>2960.3</v>
      </c>
      <c r="H173" s="50">
        <f>I173+J173+K173+L173+M173+N173+O173</f>
        <v>2294202.9</v>
      </c>
      <c r="I173" s="50">
        <f>ROUND((191.67+290.35+292.97)*G173,2)-O173</f>
        <v>2188389.94</v>
      </c>
      <c r="J173" s="178">
        <v>0</v>
      </c>
      <c r="K173" s="50">
        <v>0</v>
      </c>
      <c r="L173" s="49">
        <v>0</v>
      </c>
      <c r="M173" s="50">
        <v>0</v>
      </c>
      <c r="N173" s="50">
        <v>0</v>
      </c>
      <c r="O173" s="50">
        <v>105812.96</v>
      </c>
      <c r="P173" s="50">
        <v>0</v>
      </c>
      <c r="Q173" s="50">
        <v>0</v>
      </c>
      <c r="R173" s="50">
        <v>0</v>
      </c>
      <c r="S173" s="94">
        <f>H173</f>
        <v>2294202.9</v>
      </c>
      <c r="T173" s="66">
        <v>2017</v>
      </c>
      <c r="U173" s="66">
        <v>2017</v>
      </c>
      <c r="V173" s="152" t="s">
        <v>145</v>
      </c>
      <c r="W173" s="153">
        <v>5</v>
      </c>
      <c r="X173" s="154" t="s">
        <v>155</v>
      </c>
    </row>
    <row r="174" spans="1:24" s="24" customFormat="1" ht="15.75" customHeight="1">
      <c r="A174" s="66">
        <f t="shared" si="9"/>
        <v>150</v>
      </c>
      <c r="B174" s="163" t="s">
        <v>48</v>
      </c>
      <c r="C174" s="47" t="s">
        <v>99</v>
      </c>
      <c r="D174" s="47"/>
      <c r="E174" s="195"/>
      <c r="F174" s="94">
        <v>2818.7</v>
      </c>
      <c r="G174" s="151">
        <v>2796.3</v>
      </c>
      <c r="H174" s="50">
        <f>I174+J174+K174+L174+M174+N174+O174</f>
        <v>4200182.42</v>
      </c>
      <c r="I174" s="50">
        <f>ROUND((191.67+290.35+292.97+727.06)*G174,2)-O174</f>
        <v>3976244.38</v>
      </c>
      <c r="J174" s="50">
        <v>0</v>
      </c>
      <c r="K174" s="50">
        <v>0</v>
      </c>
      <c r="L174" s="49">
        <v>0</v>
      </c>
      <c r="M174" s="50">
        <v>0</v>
      </c>
      <c r="N174" s="50">
        <v>0</v>
      </c>
      <c r="O174" s="50">
        <v>223938.04</v>
      </c>
      <c r="P174" s="50">
        <v>0</v>
      </c>
      <c r="Q174" s="50">
        <v>0</v>
      </c>
      <c r="R174" s="50">
        <v>0</v>
      </c>
      <c r="S174" s="94">
        <f>H174</f>
        <v>4200182.42</v>
      </c>
      <c r="T174" s="66">
        <v>2017</v>
      </c>
      <c r="U174" s="66">
        <v>2017</v>
      </c>
      <c r="V174" s="152" t="s">
        <v>145</v>
      </c>
      <c r="W174" s="153">
        <v>5</v>
      </c>
      <c r="X174" s="154" t="s">
        <v>155</v>
      </c>
    </row>
    <row r="175" spans="1:24" s="24" customFormat="1" ht="15.75" customHeight="1">
      <c r="A175" s="66">
        <f t="shared" si="9"/>
        <v>151</v>
      </c>
      <c r="B175" s="163" t="s">
        <v>450</v>
      </c>
      <c r="C175" s="47" t="s">
        <v>62</v>
      </c>
      <c r="D175" s="47"/>
      <c r="E175" s="195"/>
      <c r="F175" s="94">
        <v>2606.8000000000002</v>
      </c>
      <c r="G175" s="151">
        <v>2575.6999999999998</v>
      </c>
      <c r="H175" s="50">
        <f>I175+J175+K175+L175+M175+N175+O175</f>
        <v>1996785.67</v>
      </c>
      <c r="I175" s="50">
        <f>ROUND((214.38+293.24+267.62)*G175,2)-O175</f>
        <v>1910551.27</v>
      </c>
      <c r="J175" s="50">
        <v>0</v>
      </c>
      <c r="K175" s="50">
        <v>0</v>
      </c>
      <c r="L175" s="49">
        <v>0</v>
      </c>
      <c r="M175" s="50">
        <v>0</v>
      </c>
      <c r="N175" s="50">
        <v>0</v>
      </c>
      <c r="O175" s="50">
        <v>86234.4</v>
      </c>
      <c r="P175" s="50">
        <v>0</v>
      </c>
      <c r="Q175" s="50">
        <v>0</v>
      </c>
      <c r="R175" s="50">
        <v>0</v>
      </c>
      <c r="S175" s="94">
        <f>H175</f>
        <v>1996785.67</v>
      </c>
      <c r="T175" s="66">
        <v>2017</v>
      </c>
      <c r="U175" s="66">
        <v>2017</v>
      </c>
      <c r="V175" s="152" t="s">
        <v>144</v>
      </c>
      <c r="W175" s="153">
        <v>5</v>
      </c>
      <c r="X175" s="154" t="s">
        <v>155</v>
      </c>
    </row>
    <row r="176" spans="1:24" s="24" customFormat="1" ht="15.75" customHeight="1">
      <c r="A176" s="66">
        <f t="shared" si="9"/>
        <v>152</v>
      </c>
      <c r="B176" s="163" t="s">
        <v>107</v>
      </c>
      <c r="C176" s="47" t="s">
        <v>53</v>
      </c>
      <c r="D176" s="47"/>
      <c r="E176" s="195"/>
      <c r="F176" s="94">
        <v>311.8</v>
      </c>
      <c r="G176" s="151">
        <v>282.89999999999998</v>
      </c>
      <c r="H176" s="50">
        <f>I176+J176+K176+L176+M176+N176+O176</f>
        <v>437388.86</v>
      </c>
      <c r="I176" s="50">
        <f>ROUND((197.29+298.86+301.56+748.38)*G176,2)-O176</f>
        <v>415334.66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22054.2</v>
      </c>
      <c r="P176" s="50">
        <v>0</v>
      </c>
      <c r="Q176" s="50">
        <v>0</v>
      </c>
      <c r="R176" s="50">
        <v>0</v>
      </c>
      <c r="S176" s="94">
        <f>H176</f>
        <v>437388.86</v>
      </c>
      <c r="T176" s="66">
        <v>2017</v>
      </c>
      <c r="U176" s="66">
        <v>2017</v>
      </c>
      <c r="V176" s="152" t="s">
        <v>145</v>
      </c>
      <c r="W176" s="153">
        <v>2</v>
      </c>
      <c r="X176" s="154" t="s">
        <v>156</v>
      </c>
    </row>
    <row r="177" spans="1:24" s="24" customFormat="1" ht="15.75" customHeight="1">
      <c r="A177" s="66">
        <f t="shared" si="9"/>
        <v>153</v>
      </c>
      <c r="B177" s="163" t="s">
        <v>213</v>
      </c>
      <c r="C177" s="47" t="s">
        <v>63</v>
      </c>
      <c r="D177" s="47"/>
      <c r="E177" s="195"/>
      <c r="F177" s="94">
        <v>1860.4</v>
      </c>
      <c r="G177" s="151">
        <v>1260.9000000000001</v>
      </c>
      <c r="H177" s="50">
        <f>I177+J177+K177+L177+M177+N177+O177</f>
        <v>1443427.88</v>
      </c>
      <c r="I177" s="50">
        <v>0</v>
      </c>
      <c r="J177" s="50">
        <v>0</v>
      </c>
      <c r="K177" s="50">
        <v>0</v>
      </c>
      <c r="L177" s="49">
        <v>0</v>
      </c>
      <c r="M177" s="49">
        <f>ROUND(1144.76*G177,2)-O177</f>
        <v>1372306.92</v>
      </c>
      <c r="N177" s="50">
        <v>0</v>
      </c>
      <c r="O177" s="50">
        <v>71120.960000000006</v>
      </c>
      <c r="P177" s="50">
        <v>0</v>
      </c>
      <c r="Q177" s="50">
        <v>0</v>
      </c>
      <c r="R177" s="50">
        <v>0</v>
      </c>
      <c r="S177" s="94">
        <f>H177</f>
        <v>1443427.88</v>
      </c>
      <c r="T177" s="66">
        <v>2017</v>
      </c>
      <c r="U177" s="66">
        <v>2017</v>
      </c>
      <c r="V177" s="152" t="s">
        <v>145</v>
      </c>
      <c r="W177" s="153">
        <v>5</v>
      </c>
      <c r="X177" s="154" t="s">
        <v>156</v>
      </c>
    </row>
    <row r="178" spans="1:24" s="24" customFormat="1" ht="15.75" customHeight="1">
      <c r="A178" s="66">
        <f t="shared" si="9"/>
        <v>154</v>
      </c>
      <c r="B178" s="163" t="s">
        <v>480</v>
      </c>
      <c r="C178" s="250">
        <v>1950</v>
      </c>
      <c r="D178" s="47"/>
      <c r="E178" s="47"/>
      <c r="F178" s="251">
        <v>1139.8</v>
      </c>
      <c r="G178" s="251">
        <v>792.77</v>
      </c>
      <c r="H178" s="50">
        <f>I178+J178+K178+L178+M178+N178+O178</f>
        <v>1453741.99</v>
      </c>
      <c r="I178" s="50">
        <f>ROUND((197.29+298.86+301.56+1036.04)*G178,2)-O178</f>
        <v>1366517.47</v>
      </c>
      <c r="J178" s="50">
        <v>0</v>
      </c>
      <c r="K178" s="50">
        <v>0</v>
      </c>
      <c r="L178" s="50">
        <v>0</v>
      </c>
      <c r="M178" s="50">
        <v>0</v>
      </c>
      <c r="N178" s="50">
        <v>0</v>
      </c>
      <c r="O178" s="50">
        <v>87224.52</v>
      </c>
      <c r="P178" s="50">
        <v>0</v>
      </c>
      <c r="Q178" s="50">
        <v>0</v>
      </c>
      <c r="R178" s="50">
        <v>0</v>
      </c>
      <c r="S178" s="94">
        <f>H178</f>
        <v>1453741.99</v>
      </c>
      <c r="T178" s="66">
        <v>2017</v>
      </c>
      <c r="U178" s="66">
        <v>2017</v>
      </c>
      <c r="V178" s="152" t="s">
        <v>145</v>
      </c>
      <c r="W178" s="153">
        <v>2</v>
      </c>
      <c r="X178" s="154" t="s">
        <v>156</v>
      </c>
    </row>
    <row r="179" spans="1:24" s="24" customFormat="1" ht="15.75" customHeight="1">
      <c r="A179" s="66">
        <f t="shared" si="9"/>
        <v>155</v>
      </c>
      <c r="B179" s="163" t="s">
        <v>481</v>
      </c>
      <c r="C179" s="250">
        <v>1951</v>
      </c>
      <c r="D179" s="47"/>
      <c r="E179" s="47"/>
      <c r="F179" s="251">
        <v>1169.8</v>
      </c>
      <c r="G179" s="251">
        <v>636.20000000000005</v>
      </c>
      <c r="H179" s="50">
        <f>I179+J179+K179+L179+M179+N179+O179</f>
        <v>1166631.75</v>
      </c>
      <c r="I179" s="50">
        <f>ROUND((197.29+298.86+301.56+1036.04)*G179,2)-O179</f>
        <v>1096633.8400000001</v>
      </c>
      <c r="J179" s="50">
        <v>0</v>
      </c>
      <c r="K179" s="50">
        <v>0</v>
      </c>
      <c r="L179" s="50">
        <v>0</v>
      </c>
      <c r="M179" s="50">
        <v>0</v>
      </c>
      <c r="N179" s="50">
        <v>0</v>
      </c>
      <c r="O179" s="50">
        <v>69997.91</v>
      </c>
      <c r="P179" s="50">
        <v>0</v>
      </c>
      <c r="Q179" s="50">
        <v>0</v>
      </c>
      <c r="R179" s="50">
        <v>0</v>
      </c>
      <c r="S179" s="94">
        <f>H179</f>
        <v>1166631.75</v>
      </c>
      <c r="T179" s="66">
        <v>2017</v>
      </c>
      <c r="U179" s="66">
        <v>2017</v>
      </c>
      <c r="V179" s="152" t="s">
        <v>145</v>
      </c>
      <c r="W179" s="153">
        <v>2</v>
      </c>
      <c r="X179" s="154" t="s">
        <v>156</v>
      </c>
    </row>
    <row r="180" spans="1:24" s="24" customFormat="1" ht="15.75" customHeight="1">
      <c r="A180" s="66">
        <f t="shared" si="9"/>
        <v>156</v>
      </c>
      <c r="B180" s="163" t="s">
        <v>482</v>
      </c>
      <c r="C180" s="250">
        <v>1951</v>
      </c>
      <c r="D180" s="47"/>
      <c r="E180" s="47"/>
      <c r="F180" s="251">
        <v>1022.7</v>
      </c>
      <c r="G180" s="251">
        <v>596.9</v>
      </c>
      <c r="H180" s="50">
        <f>I180+J180+K180+L180+M180+N180+O180</f>
        <v>1094565.3799999999</v>
      </c>
      <c r="I180" s="50">
        <f>ROUND((197.29+298.86+301.56+1036.04)*G180,2)-O180</f>
        <v>1028891.4599999998</v>
      </c>
      <c r="J180" s="50">
        <v>0</v>
      </c>
      <c r="K180" s="50">
        <v>0</v>
      </c>
      <c r="L180" s="50">
        <v>0</v>
      </c>
      <c r="M180" s="50">
        <v>0</v>
      </c>
      <c r="N180" s="50">
        <v>0</v>
      </c>
      <c r="O180" s="50">
        <v>65673.919999999998</v>
      </c>
      <c r="P180" s="50">
        <v>0</v>
      </c>
      <c r="Q180" s="50">
        <v>0</v>
      </c>
      <c r="R180" s="50">
        <v>0</v>
      </c>
      <c r="S180" s="94">
        <f>H180</f>
        <v>1094565.3799999999</v>
      </c>
      <c r="T180" s="66">
        <v>2017</v>
      </c>
      <c r="U180" s="66">
        <v>2017</v>
      </c>
      <c r="V180" s="152" t="s">
        <v>145</v>
      </c>
      <c r="W180" s="153">
        <v>2</v>
      </c>
      <c r="X180" s="154" t="s">
        <v>156</v>
      </c>
    </row>
    <row r="181" spans="1:24" s="24" customFormat="1" ht="15.75" customHeight="1">
      <c r="A181" s="66">
        <f t="shared" si="9"/>
        <v>157</v>
      </c>
      <c r="B181" s="163" t="s">
        <v>483</v>
      </c>
      <c r="C181" s="250">
        <v>1950</v>
      </c>
      <c r="D181" s="47"/>
      <c r="E181" s="47"/>
      <c r="F181" s="251">
        <v>1191.0999999999999</v>
      </c>
      <c r="G181" s="251">
        <v>720.6</v>
      </c>
      <c r="H181" s="50">
        <f>I181+J181+K181+L181+M181+N181+O181</f>
        <v>1321400.25</v>
      </c>
      <c r="I181" s="50">
        <f>ROUND((197.29+298.86+301.56+1036.04)*G181,2)-O181</f>
        <v>1242116.23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79284.02</v>
      </c>
      <c r="P181" s="50">
        <v>0</v>
      </c>
      <c r="Q181" s="50">
        <v>0</v>
      </c>
      <c r="R181" s="50">
        <v>0</v>
      </c>
      <c r="S181" s="94">
        <f>H181</f>
        <v>1321400.25</v>
      </c>
      <c r="T181" s="66">
        <v>2017</v>
      </c>
      <c r="U181" s="66">
        <v>2017</v>
      </c>
      <c r="V181" s="152" t="s">
        <v>145</v>
      </c>
      <c r="W181" s="153">
        <v>2</v>
      </c>
      <c r="X181" s="154" t="s">
        <v>156</v>
      </c>
    </row>
    <row r="182" spans="1:24" s="24" customFormat="1" ht="15.75" customHeight="1">
      <c r="A182" s="66">
        <f>A181+1</f>
        <v>158</v>
      </c>
      <c r="B182" s="163" t="s">
        <v>247</v>
      </c>
      <c r="C182" s="47" t="s">
        <v>18</v>
      </c>
      <c r="D182" s="47"/>
      <c r="E182" s="195"/>
      <c r="F182" s="94">
        <v>692.2</v>
      </c>
      <c r="G182" s="151">
        <v>626.9</v>
      </c>
      <c r="H182" s="50">
        <f>I182+J182+K182+L182+M182+N182+O182</f>
        <v>3795603.67</v>
      </c>
      <c r="I182" s="50">
        <f>ROUND((197.29+298.86)*G182,2)-12513.64</f>
        <v>298522.8</v>
      </c>
      <c r="J182" s="50">
        <v>0</v>
      </c>
      <c r="K182" s="49">
        <f>ROUND(4211.64*G182,2)-106223.81</f>
        <v>2534053.31</v>
      </c>
      <c r="L182" s="49">
        <v>0</v>
      </c>
      <c r="M182" s="49">
        <f>ROUND(1346.77*G182,2)-33967.54</f>
        <v>810322.57</v>
      </c>
      <c r="N182" s="50">
        <v>0</v>
      </c>
      <c r="O182" s="50">
        <v>152704.99</v>
      </c>
      <c r="P182" s="50">
        <v>0</v>
      </c>
      <c r="Q182" s="50">
        <v>0</v>
      </c>
      <c r="R182" s="50">
        <v>0</v>
      </c>
      <c r="S182" s="94">
        <f>H182</f>
        <v>3795603.67</v>
      </c>
      <c r="T182" s="66">
        <v>2017</v>
      </c>
      <c r="U182" s="66">
        <v>2017</v>
      </c>
      <c r="V182" s="152" t="s">
        <v>145</v>
      </c>
      <c r="W182" s="153">
        <v>2</v>
      </c>
      <c r="X182" s="154" t="s">
        <v>156</v>
      </c>
    </row>
    <row r="183" spans="1:24" s="24" customFormat="1" ht="15.75" customHeight="1">
      <c r="A183" s="66">
        <f t="shared" si="9"/>
        <v>159</v>
      </c>
      <c r="B183" s="163" t="s">
        <v>248</v>
      </c>
      <c r="C183" s="47" t="s">
        <v>95</v>
      </c>
      <c r="D183" s="47"/>
      <c r="E183" s="195"/>
      <c r="F183" s="94">
        <v>7753.1</v>
      </c>
      <c r="G183" s="151">
        <v>7734</v>
      </c>
      <c r="H183" s="50">
        <f>I183+J183+K183+L183+M183+N183+O183</f>
        <v>3037801.66</v>
      </c>
      <c r="I183" s="50">
        <v>0</v>
      </c>
      <c r="J183" s="157">
        <v>3037801.66</v>
      </c>
      <c r="K183" s="50">
        <v>0</v>
      </c>
      <c r="L183" s="49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94">
        <f>H183</f>
        <v>3037801.66</v>
      </c>
      <c r="T183" s="66">
        <v>2017</v>
      </c>
      <c r="U183" s="66">
        <v>2017</v>
      </c>
      <c r="V183" s="152" t="s">
        <v>144</v>
      </c>
      <c r="W183" s="153">
        <v>9</v>
      </c>
      <c r="X183" s="154" t="s">
        <v>155</v>
      </c>
    </row>
    <row r="184" spans="1:24" s="24" customFormat="1" ht="15.75" customHeight="1">
      <c r="A184" s="66">
        <f t="shared" si="9"/>
        <v>160</v>
      </c>
      <c r="B184" s="163" t="s">
        <v>170</v>
      </c>
      <c r="C184" s="37" t="s">
        <v>455</v>
      </c>
      <c r="D184" s="37"/>
      <c r="E184" s="214"/>
      <c r="F184" s="94">
        <v>1647.7</v>
      </c>
      <c r="G184" s="151">
        <v>1293.8</v>
      </c>
      <c r="H184" s="50">
        <f>I184+J184+K184+L184+M184+N184+O184</f>
        <v>5449019.8300000001</v>
      </c>
      <c r="I184" s="50">
        <v>0</v>
      </c>
      <c r="J184" s="50">
        <v>0</v>
      </c>
      <c r="K184" s="49">
        <f>ROUND(4211.64*G184,2)-O184</f>
        <v>5364525.93</v>
      </c>
      <c r="L184" s="50">
        <v>0</v>
      </c>
      <c r="M184" s="50">
        <v>0</v>
      </c>
      <c r="N184" s="50">
        <v>0</v>
      </c>
      <c r="O184" s="50">
        <v>84493.9</v>
      </c>
      <c r="P184" s="50">
        <v>0</v>
      </c>
      <c r="Q184" s="50">
        <v>0</v>
      </c>
      <c r="R184" s="50">
        <v>0</v>
      </c>
      <c r="S184" s="94">
        <f>H184</f>
        <v>5449019.8300000001</v>
      </c>
      <c r="T184" s="66">
        <v>2017</v>
      </c>
      <c r="U184" s="66">
        <v>2017</v>
      </c>
      <c r="V184" s="152" t="s">
        <v>145</v>
      </c>
      <c r="W184" s="153">
        <v>2</v>
      </c>
      <c r="X184" s="154" t="s">
        <v>156</v>
      </c>
    </row>
    <row r="185" spans="1:24" s="24" customFormat="1" ht="15.75" customHeight="1">
      <c r="A185" s="66">
        <f t="shared" si="9"/>
        <v>161</v>
      </c>
      <c r="B185" s="163" t="s">
        <v>222</v>
      </c>
      <c r="C185" s="47">
        <v>1099.9000000000001</v>
      </c>
      <c r="D185" s="47"/>
      <c r="E185" s="195"/>
      <c r="F185" s="94">
        <v>1099.9000000000001</v>
      </c>
      <c r="G185" s="151">
        <v>977.5</v>
      </c>
      <c r="H185" s="50">
        <f>I185+J185+K185+L185+M185+N185+O185</f>
        <v>1836644.3</v>
      </c>
      <c r="I185" s="49">
        <f>ROUND((332.83+748.38+197.29+298.86+301.56)*G185,2)-O185</f>
        <v>1731388.3</v>
      </c>
      <c r="J185" s="50">
        <v>0</v>
      </c>
      <c r="K185" s="50">
        <v>0</v>
      </c>
      <c r="L185" s="49">
        <v>0</v>
      </c>
      <c r="M185" s="50">
        <v>0</v>
      </c>
      <c r="N185" s="50">
        <v>0</v>
      </c>
      <c r="O185" s="50">
        <v>105256</v>
      </c>
      <c r="P185" s="50">
        <v>0</v>
      </c>
      <c r="Q185" s="50">
        <v>0</v>
      </c>
      <c r="R185" s="50">
        <v>0</v>
      </c>
      <c r="S185" s="94">
        <f>H185</f>
        <v>1836644.3</v>
      </c>
      <c r="T185" s="66">
        <v>2017</v>
      </c>
      <c r="U185" s="66">
        <v>2017</v>
      </c>
      <c r="V185" s="152" t="s">
        <v>145</v>
      </c>
      <c r="W185" s="153">
        <v>2</v>
      </c>
      <c r="X185" s="154" t="s">
        <v>156</v>
      </c>
    </row>
    <row r="186" spans="1:24" s="24" customFormat="1" ht="15.75" customHeight="1">
      <c r="A186" s="66">
        <f t="shared" si="9"/>
        <v>162</v>
      </c>
      <c r="B186" s="163" t="s">
        <v>187</v>
      </c>
      <c r="C186" s="37" t="s">
        <v>63</v>
      </c>
      <c r="D186" s="37"/>
      <c r="E186" s="214"/>
      <c r="F186" s="94">
        <v>1644.3</v>
      </c>
      <c r="G186" s="151">
        <v>1272.8</v>
      </c>
      <c r="H186" s="50">
        <f>I186+J186+K186+L186+M186+N186+O186</f>
        <v>486031.41</v>
      </c>
      <c r="I186" s="50">
        <f>ROUND(381.86*G186,2)-O186</f>
        <v>456869.52999999997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29161.88</v>
      </c>
      <c r="P186" s="50">
        <v>0</v>
      </c>
      <c r="Q186" s="50">
        <v>0</v>
      </c>
      <c r="R186" s="50">
        <v>0</v>
      </c>
      <c r="S186" s="94">
        <f>H186</f>
        <v>486031.41</v>
      </c>
      <c r="T186" s="66">
        <v>2017</v>
      </c>
      <c r="U186" s="66">
        <v>2017</v>
      </c>
      <c r="V186" s="152" t="s">
        <v>145</v>
      </c>
      <c r="W186" s="153">
        <v>5</v>
      </c>
      <c r="X186" s="154" t="s">
        <v>156</v>
      </c>
    </row>
    <row r="187" spans="1:24" s="24" customFormat="1" ht="15.75" customHeight="1">
      <c r="A187" s="66">
        <f t="shared" si="9"/>
        <v>163</v>
      </c>
      <c r="B187" s="179" t="s">
        <v>49</v>
      </c>
      <c r="C187" s="47" t="s">
        <v>73</v>
      </c>
      <c r="D187" s="47"/>
      <c r="E187" s="195"/>
      <c r="F187" s="94">
        <v>1082.7</v>
      </c>
      <c r="G187" s="151">
        <v>551.6</v>
      </c>
      <c r="H187" s="50">
        <f>I187+J187+K187+L187+M187+N187+O187</f>
        <v>84036.25999999998</v>
      </c>
      <c r="I187" s="50">
        <v>0</v>
      </c>
      <c r="J187" s="50">
        <v>0</v>
      </c>
      <c r="K187" s="50">
        <v>0</v>
      </c>
      <c r="L187" s="49">
        <v>0</v>
      </c>
      <c r="M187" s="50">
        <v>0</v>
      </c>
      <c r="N187" s="49">
        <f>ROUND(152.35*G187,2)-O187</f>
        <v>78994.079999999987</v>
      </c>
      <c r="O187" s="50">
        <v>5042.18</v>
      </c>
      <c r="P187" s="50">
        <v>0</v>
      </c>
      <c r="Q187" s="50">
        <v>0</v>
      </c>
      <c r="R187" s="50">
        <v>0</v>
      </c>
      <c r="S187" s="94">
        <f>H187</f>
        <v>84036.25999999998</v>
      </c>
      <c r="T187" s="66">
        <v>2017</v>
      </c>
      <c r="U187" s="66">
        <v>2017</v>
      </c>
      <c r="V187" s="152" t="s">
        <v>145</v>
      </c>
      <c r="W187" s="153">
        <v>2</v>
      </c>
      <c r="X187" s="154" t="s">
        <v>156</v>
      </c>
    </row>
    <row r="188" spans="1:24" s="24" customFormat="1" ht="15.75" customHeight="1">
      <c r="A188" s="66">
        <f>A187+1</f>
        <v>164</v>
      </c>
      <c r="B188" s="163" t="s">
        <v>413</v>
      </c>
      <c r="C188" s="37" t="s">
        <v>71</v>
      </c>
      <c r="D188" s="37"/>
      <c r="E188" s="214"/>
      <c r="F188" s="94">
        <v>1563.6</v>
      </c>
      <c r="G188" s="151">
        <v>1548</v>
      </c>
      <c r="H188" s="50">
        <f>I188+J188+K188+L188+M188+N188+O188</f>
        <v>4024691.6399999997</v>
      </c>
      <c r="I188" s="50">
        <f>ROUND((191.67+290.35+292.97)*G188,2)-36786.28</f>
        <v>1162898.24</v>
      </c>
      <c r="J188" s="50">
        <v>0</v>
      </c>
      <c r="K188" s="49">
        <f>ROUND(1824.94*G188,2)-86624.02</f>
        <v>2738383.1</v>
      </c>
      <c r="L188" s="50">
        <v>0</v>
      </c>
      <c r="M188" s="50">
        <v>0</v>
      </c>
      <c r="N188" s="50">
        <v>0</v>
      </c>
      <c r="O188" s="50">
        <v>123410.3</v>
      </c>
      <c r="P188" s="50">
        <v>0</v>
      </c>
      <c r="Q188" s="50">
        <v>0</v>
      </c>
      <c r="R188" s="50">
        <v>0</v>
      </c>
      <c r="S188" s="94">
        <f>H188</f>
        <v>4024691.6399999997</v>
      </c>
      <c r="T188" s="66">
        <v>2017</v>
      </c>
      <c r="U188" s="66">
        <v>2017</v>
      </c>
      <c r="V188" s="152" t="s">
        <v>145</v>
      </c>
      <c r="W188" s="153">
        <v>4</v>
      </c>
      <c r="X188" s="154" t="s">
        <v>156</v>
      </c>
    </row>
    <row r="189" spans="1:24" s="24" customFormat="1" ht="15.75" customHeight="1">
      <c r="A189" s="66">
        <f t="shared" si="9"/>
        <v>165</v>
      </c>
      <c r="B189" s="163" t="s">
        <v>451</v>
      </c>
      <c r="C189" s="47" t="s">
        <v>21</v>
      </c>
      <c r="D189" s="47"/>
      <c r="E189" s="195"/>
      <c r="F189" s="94">
        <v>3848.7</v>
      </c>
      <c r="G189" s="151">
        <v>3802.3</v>
      </c>
      <c r="H189" s="50">
        <f>I189+J189+K189+L189+M189+N189+O189</f>
        <v>1523619.63</v>
      </c>
      <c r="I189" s="50">
        <f>ROUND(400.71*G189,2)-O189</f>
        <v>1433969.13</v>
      </c>
      <c r="J189" s="50">
        <v>0</v>
      </c>
      <c r="K189" s="50">
        <v>0</v>
      </c>
      <c r="L189" s="49">
        <v>0</v>
      </c>
      <c r="M189" s="50">
        <v>0</v>
      </c>
      <c r="N189" s="50">
        <v>0</v>
      </c>
      <c r="O189" s="50">
        <v>89650.5</v>
      </c>
      <c r="P189" s="50">
        <v>0</v>
      </c>
      <c r="Q189" s="50">
        <v>0</v>
      </c>
      <c r="R189" s="50">
        <v>0</v>
      </c>
      <c r="S189" s="94">
        <f>H189</f>
        <v>1523619.63</v>
      </c>
      <c r="T189" s="66">
        <v>2017</v>
      </c>
      <c r="U189" s="66">
        <v>2017</v>
      </c>
      <c r="V189" s="152" t="s">
        <v>144</v>
      </c>
      <c r="W189" s="153">
        <v>9</v>
      </c>
      <c r="X189" s="154" t="s">
        <v>155</v>
      </c>
    </row>
    <row r="190" spans="1:24" s="24" customFormat="1" ht="15.75" customHeight="1">
      <c r="A190" s="66">
        <f t="shared" ref="A190:A199" si="10">A189+1</f>
        <v>166</v>
      </c>
      <c r="B190" s="163" t="s">
        <v>484</v>
      </c>
      <c r="C190" s="250">
        <v>1963</v>
      </c>
      <c r="D190" s="11"/>
      <c r="E190" s="11"/>
      <c r="F190" s="251">
        <v>1753.8</v>
      </c>
      <c r="G190" s="251">
        <v>1459.63</v>
      </c>
      <c r="H190" s="50">
        <f>I190+J190+K190+L190+M190+N190+O190</f>
        <v>2663737.17</v>
      </c>
      <c r="I190" s="50">
        <v>0</v>
      </c>
      <c r="J190" s="50">
        <v>0</v>
      </c>
      <c r="K190" s="49">
        <f>ROUND(1824.94*G190,2)-O190</f>
        <v>2604655.75</v>
      </c>
      <c r="L190" s="50">
        <v>0</v>
      </c>
      <c r="M190" s="50">
        <v>0</v>
      </c>
      <c r="N190" s="50">
        <v>0</v>
      </c>
      <c r="O190" s="50">
        <v>59081.42</v>
      </c>
      <c r="P190" s="50">
        <v>0</v>
      </c>
      <c r="Q190" s="50">
        <v>0</v>
      </c>
      <c r="R190" s="50">
        <v>0</v>
      </c>
      <c r="S190" s="94">
        <f>H190</f>
        <v>2663737.17</v>
      </c>
      <c r="T190" s="66">
        <v>2017</v>
      </c>
      <c r="U190" s="66">
        <v>2017</v>
      </c>
      <c r="V190" s="152" t="s">
        <v>145</v>
      </c>
      <c r="W190" s="153">
        <v>5</v>
      </c>
      <c r="X190" s="154" t="s">
        <v>156</v>
      </c>
    </row>
    <row r="191" spans="1:24" s="24" customFormat="1" ht="15.75" customHeight="1">
      <c r="A191" s="66">
        <f t="shared" si="10"/>
        <v>167</v>
      </c>
      <c r="B191" s="163" t="s">
        <v>159</v>
      </c>
      <c r="C191" s="37" t="s">
        <v>63</v>
      </c>
      <c r="D191" s="37"/>
      <c r="E191" s="214"/>
      <c r="F191" s="94">
        <v>3241.9</v>
      </c>
      <c r="G191" s="151">
        <v>2957.2</v>
      </c>
      <c r="H191" s="50">
        <f>I191+J191+K191+L191+M191+N191+O191</f>
        <v>3123246.78</v>
      </c>
      <c r="I191" s="50">
        <v>0</v>
      </c>
      <c r="J191" s="178">
        <v>0</v>
      </c>
      <c r="K191" s="71">
        <f>ROUND(1056.15*G191,2)-O191</f>
        <v>3034998.1199999996</v>
      </c>
      <c r="L191" s="50">
        <v>0</v>
      </c>
      <c r="M191" s="50">
        <v>0</v>
      </c>
      <c r="N191" s="50">
        <v>0</v>
      </c>
      <c r="O191" s="50">
        <v>88248.66</v>
      </c>
      <c r="P191" s="50">
        <v>0</v>
      </c>
      <c r="Q191" s="50">
        <v>0</v>
      </c>
      <c r="R191" s="50">
        <v>0</v>
      </c>
      <c r="S191" s="94">
        <f>H191</f>
        <v>3123246.78</v>
      </c>
      <c r="T191" s="66">
        <v>2017</v>
      </c>
      <c r="U191" s="66">
        <v>2017</v>
      </c>
      <c r="V191" s="152" t="s">
        <v>145</v>
      </c>
      <c r="W191" s="153">
        <v>5</v>
      </c>
      <c r="X191" s="154" t="s">
        <v>155</v>
      </c>
    </row>
    <row r="192" spans="1:24" s="24" customFormat="1" ht="15.75" customHeight="1">
      <c r="A192" s="66">
        <f t="shared" si="10"/>
        <v>168</v>
      </c>
      <c r="B192" s="163" t="s">
        <v>180</v>
      </c>
      <c r="C192" s="37" t="s">
        <v>63</v>
      </c>
      <c r="D192" s="37"/>
      <c r="E192" s="214"/>
      <c r="F192" s="94">
        <v>2997.6</v>
      </c>
      <c r="G192" s="151">
        <v>2380.1999999999998</v>
      </c>
      <c r="H192" s="50">
        <f>I192+J192+K192+L192+M192+N192+O192</f>
        <v>1844631.2</v>
      </c>
      <c r="I192" s="50">
        <f>ROUND((191.67+290.35+292.97)*G192,2)-O192</f>
        <v>1740523.3399999999</v>
      </c>
      <c r="J192" s="50">
        <v>0</v>
      </c>
      <c r="K192" s="50">
        <v>0</v>
      </c>
      <c r="L192" s="50">
        <v>0</v>
      </c>
      <c r="M192" s="50">
        <v>0</v>
      </c>
      <c r="N192" s="50">
        <v>0</v>
      </c>
      <c r="O192" s="50">
        <v>104107.86</v>
      </c>
      <c r="P192" s="50">
        <v>0</v>
      </c>
      <c r="Q192" s="50">
        <v>0</v>
      </c>
      <c r="R192" s="50">
        <v>0</v>
      </c>
      <c r="S192" s="94">
        <f>H192</f>
        <v>1844631.2</v>
      </c>
      <c r="T192" s="66">
        <v>2017</v>
      </c>
      <c r="U192" s="66">
        <v>2017</v>
      </c>
      <c r="V192" s="152" t="s">
        <v>145</v>
      </c>
      <c r="W192" s="153">
        <v>5</v>
      </c>
      <c r="X192" s="154" t="s">
        <v>156</v>
      </c>
    </row>
    <row r="193" spans="1:26" s="24" customFormat="1" ht="15.75" customHeight="1">
      <c r="A193" s="66">
        <f t="shared" si="10"/>
        <v>169</v>
      </c>
      <c r="B193" s="163" t="s">
        <v>181</v>
      </c>
      <c r="C193" s="47" t="s">
        <v>63</v>
      </c>
      <c r="D193" s="47"/>
      <c r="E193" s="195"/>
      <c r="F193" s="94">
        <v>3185.6</v>
      </c>
      <c r="G193" s="151">
        <v>2786.3</v>
      </c>
      <c r="H193" s="50">
        <f>I193+J193+K193+L193+M193+N193+O193</f>
        <v>2159354.64</v>
      </c>
      <c r="I193" s="50">
        <f>ROUND((191.67+290.35+292.97)*G193,2)-O193</f>
        <v>2050253.02</v>
      </c>
      <c r="J193" s="50">
        <v>0</v>
      </c>
      <c r="K193" s="50">
        <v>0</v>
      </c>
      <c r="L193" s="50">
        <v>0</v>
      </c>
      <c r="M193" s="50">
        <v>0</v>
      </c>
      <c r="N193" s="50">
        <v>0</v>
      </c>
      <c r="O193" s="50">
        <v>109101.62</v>
      </c>
      <c r="P193" s="50">
        <v>0</v>
      </c>
      <c r="Q193" s="50">
        <v>0</v>
      </c>
      <c r="R193" s="50">
        <v>0</v>
      </c>
      <c r="S193" s="94">
        <f>H193</f>
        <v>2159354.64</v>
      </c>
      <c r="T193" s="66">
        <v>2017</v>
      </c>
      <c r="U193" s="66">
        <v>2017</v>
      </c>
      <c r="V193" s="152" t="s">
        <v>145</v>
      </c>
      <c r="W193" s="153">
        <v>5</v>
      </c>
      <c r="X193" s="154" t="s">
        <v>155</v>
      </c>
    </row>
    <row r="194" spans="1:26" s="24" customFormat="1" ht="15.75" customHeight="1">
      <c r="A194" s="66">
        <f t="shared" si="10"/>
        <v>170</v>
      </c>
      <c r="B194" s="163" t="s">
        <v>425</v>
      </c>
      <c r="C194" s="47" t="s">
        <v>63</v>
      </c>
      <c r="D194" s="47"/>
      <c r="E194" s="195"/>
      <c r="F194" s="94">
        <v>2950.3</v>
      </c>
      <c r="G194" s="151">
        <v>2936</v>
      </c>
      <c r="H194" s="50">
        <f>I194+J194+K194+L194+M194+N194+O194</f>
        <v>6461871.7599999988</v>
      </c>
      <c r="I194" s="50">
        <v>0</v>
      </c>
      <c r="J194" s="178">
        <v>0</v>
      </c>
      <c r="K194" s="71">
        <f>ROUND(1056.15*G194,2)-85714.39</f>
        <v>3015142.01</v>
      </c>
      <c r="L194" s="34">
        <v>0</v>
      </c>
      <c r="M194" s="49">
        <f>ROUND(1144.76*G194,2)-92905.75</f>
        <v>3268109.61</v>
      </c>
      <c r="N194" s="50">
        <v>0</v>
      </c>
      <c r="O194" s="50">
        <v>178620.14</v>
      </c>
      <c r="P194" s="50">
        <v>0</v>
      </c>
      <c r="Q194" s="50">
        <v>0</v>
      </c>
      <c r="R194" s="50">
        <v>0</v>
      </c>
      <c r="S194" s="94">
        <f>H194</f>
        <v>6461871.7599999988</v>
      </c>
      <c r="T194" s="66">
        <v>2017</v>
      </c>
      <c r="U194" s="66">
        <v>2017</v>
      </c>
      <c r="V194" s="152" t="s">
        <v>145</v>
      </c>
      <c r="W194" s="153">
        <v>5</v>
      </c>
      <c r="X194" s="154" t="s">
        <v>155</v>
      </c>
    </row>
    <row r="195" spans="1:26" s="24" customFormat="1" ht="15.75" customHeight="1">
      <c r="A195" s="66">
        <f t="shared" si="10"/>
        <v>171</v>
      </c>
      <c r="B195" s="164" t="s">
        <v>424</v>
      </c>
      <c r="C195" s="37" t="s">
        <v>62</v>
      </c>
      <c r="D195" s="37"/>
      <c r="E195" s="214"/>
      <c r="F195" s="94">
        <v>3280</v>
      </c>
      <c r="G195" s="151">
        <v>3234.3</v>
      </c>
      <c r="H195" s="50">
        <f>I195+J195+K195+L195+M195+N195+O195</f>
        <v>5902403.4400000004</v>
      </c>
      <c r="I195" s="50">
        <v>0</v>
      </c>
      <c r="J195" s="178">
        <v>0</v>
      </c>
      <c r="K195" s="49">
        <f>ROUND(1824.94*G195,2)-O195</f>
        <v>5809961.0600000005</v>
      </c>
      <c r="L195" s="50">
        <v>0</v>
      </c>
      <c r="M195" s="50">
        <v>0</v>
      </c>
      <c r="N195" s="50">
        <v>0</v>
      </c>
      <c r="O195" s="50">
        <v>92442.38</v>
      </c>
      <c r="P195" s="50">
        <v>0</v>
      </c>
      <c r="Q195" s="50">
        <v>0</v>
      </c>
      <c r="R195" s="50">
        <v>0</v>
      </c>
      <c r="S195" s="94">
        <f>H195</f>
        <v>5902403.4400000004</v>
      </c>
      <c r="T195" s="66">
        <v>2017</v>
      </c>
      <c r="U195" s="66">
        <v>2017</v>
      </c>
      <c r="V195" s="152" t="s">
        <v>145</v>
      </c>
      <c r="W195" s="153">
        <v>5</v>
      </c>
      <c r="X195" s="154" t="s">
        <v>156</v>
      </c>
    </row>
    <row r="196" spans="1:26" s="24" customFormat="1" ht="15.75" customHeight="1">
      <c r="A196" s="66">
        <f t="shared" si="10"/>
        <v>172</v>
      </c>
      <c r="B196" s="171" t="s">
        <v>127</v>
      </c>
      <c r="C196" s="37">
        <v>1984</v>
      </c>
      <c r="D196" s="37"/>
      <c r="E196" s="214"/>
      <c r="F196" s="62">
        <v>3410.2</v>
      </c>
      <c r="G196" s="151">
        <v>3394</v>
      </c>
      <c r="H196" s="50">
        <f>I196+J196+K196+L196+M196+N196+O196</f>
        <v>3639895.3</v>
      </c>
      <c r="I196" s="50">
        <v>0</v>
      </c>
      <c r="J196" s="50">
        <v>0</v>
      </c>
      <c r="K196" s="38">
        <f>ROUND(1072.45*G196,2)-O196</f>
        <v>3543628.54</v>
      </c>
      <c r="L196" s="34">
        <v>0</v>
      </c>
      <c r="M196" s="50">
        <v>0</v>
      </c>
      <c r="N196" s="50">
        <v>0</v>
      </c>
      <c r="O196" s="50">
        <v>96266.76</v>
      </c>
      <c r="P196" s="50">
        <v>0</v>
      </c>
      <c r="Q196" s="50">
        <v>0</v>
      </c>
      <c r="R196" s="50">
        <v>0</v>
      </c>
      <c r="S196" s="94">
        <f>H196</f>
        <v>3639895.3</v>
      </c>
      <c r="T196" s="66">
        <v>2017</v>
      </c>
      <c r="U196" s="66">
        <v>2017</v>
      </c>
      <c r="V196" s="152" t="s">
        <v>144</v>
      </c>
      <c r="W196" s="153">
        <v>5</v>
      </c>
      <c r="X196" s="154" t="s">
        <v>155</v>
      </c>
    </row>
    <row r="197" spans="1:26" s="24" customFormat="1" ht="15.75" customHeight="1">
      <c r="A197" s="66">
        <f t="shared" si="10"/>
        <v>173</v>
      </c>
      <c r="B197" s="171" t="s">
        <v>128</v>
      </c>
      <c r="C197" s="37">
        <v>1985</v>
      </c>
      <c r="D197" s="37"/>
      <c r="E197" s="214"/>
      <c r="F197" s="62">
        <v>3418.1</v>
      </c>
      <c r="G197" s="151">
        <v>3372.6</v>
      </c>
      <c r="H197" s="50">
        <f>I197+J197+K197+L197+M197+N197+O197</f>
        <v>3616944.87</v>
      </c>
      <c r="I197" s="50">
        <v>0</v>
      </c>
      <c r="J197" s="178">
        <v>0</v>
      </c>
      <c r="K197" s="38">
        <f>ROUND(1072.45*G197,2)-O197</f>
        <v>3520012.5900000003</v>
      </c>
      <c r="L197" s="50">
        <v>0</v>
      </c>
      <c r="M197" s="50">
        <v>0</v>
      </c>
      <c r="N197" s="50">
        <v>0</v>
      </c>
      <c r="O197" s="50">
        <v>96932.28</v>
      </c>
      <c r="P197" s="50">
        <v>0</v>
      </c>
      <c r="Q197" s="50">
        <v>0</v>
      </c>
      <c r="R197" s="50">
        <v>0</v>
      </c>
      <c r="S197" s="94">
        <f>H197</f>
        <v>3616944.87</v>
      </c>
      <c r="T197" s="66">
        <v>2017</v>
      </c>
      <c r="U197" s="66">
        <v>2017</v>
      </c>
      <c r="V197" s="152" t="s">
        <v>144</v>
      </c>
      <c r="W197" s="153">
        <v>5</v>
      </c>
      <c r="X197" s="154" t="s">
        <v>155</v>
      </c>
    </row>
    <row r="198" spans="1:26" s="24" customFormat="1" ht="15.75" customHeight="1">
      <c r="A198" s="66">
        <f t="shared" si="10"/>
        <v>174</v>
      </c>
      <c r="B198" s="180" t="s">
        <v>251</v>
      </c>
      <c r="C198" s="47" t="s">
        <v>459</v>
      </c>
      <c r="D198" s="221"/>
      <c r="E198" s="221"/>
      <c r="F198" s="181">
        <v>4737.3</v>
      </c>
      <c r="G198" s="33">
        <v>4068.1</v>
      </c>
      <c r="H198" s="56">
        <f>I198+J198+K198+L198+M198+N198+O198</f>
        <v>3037801.66</v>
      </c>
      <c r="I198" s="50">
        <v>0</v>
      </c>
      <c r="J198" s="182">
        <f>3037801.66</f>
        <v>3037801.66</v>
      </c>
      <c r="K198" s="50">
        <v>0</v>
      </c>
      <c r="L198" s="49">
        <v>0</v>
      </c>
      <c r="M198" s="50">
        <v>0</v>
      </c>
      <c r="N198" s="50">
        <v>0</v>
      </c>
      <c r="O198" s="50">
        <v>0</v>
      </c>
      <c r="P198" s="50">
        <v>0</v>
      </c>
      <c r="Q198" s="50">
        <v>0</v>
      </c>
      <c r="R198" s="50">
        <v>0</v>
      </c>
      <c r="S198" s="94">
        <f>H198</f>
        <v>3037801.66</v>
      </c>
      <c r="T198" s="66">
        <v>2017</v>
      </c>
      <c r="U198" s="66">
        <v>2017</v>
      </c>
      <c r="V198" s="152" t="str">
        <f>[2]Реестр!$AV$3245</f>
        <v>панельные</v>
      </c>
      <c r="W198" s="153">
        <f>[2]Реестр!$AI$3245</f>
        <v>9</v>
      </c>
      <c r="X198" s="154" t="str">
        <f>[2]Реестр!$AX$3245</f>
        <v>плоская</v>
      </c>
    </row>
    <row r="199" spans="1:26" s="24" customFormat="1" ht="15.75" customHeight="1">
      <c r="A199" s="66">
        <f t="shared" si="10"/>
        <v>175</v>
      </c>
      <c r="B199" s="164" t="s">
        <v>119</v>
      </c>
      <c r="C199" s="218" t="s">
        <v>454</v>
      </c>
      <c r="D199" s="66"/>
      <c r="E199" s="66"/>
      <c r="F199" s="220">
        <v>4073.6</v>
      </c>
      <c r="G199" s="151">
        <v>3589.6</v>
      </c>
      <c r="H199" s="50">
        <f>I199+J199+K199+L199+M199+N199+O199</f>
        <v>9500989.1799999997</v>
      </c>
      <c r="I199" s="50">
        <f>ROUND((191.67+290.35+292.97+727.06)*G199,2)-255384.6</f>
        <v>5136374.08</v>
      </c>
      <c r="J199" s="50">
        <v>0</v>
      </c>
      <c r="K199" s="50">
        <v>0</v>
      </c>
      <c r="L199" s="49">
        <v>0</v>
      </c>
      <c r="M199" s="49">
        <f>ROUND(1144.76*G199,2)-194636.72</f>
        <v>3914593.78</v>
      </c>
      <c r="N199" s="50">
        <v>0</v>
      </c>
      <c r="O199" s="50">
        <v>450021.32</v>
      </c>
      <c r="P199" s="50">
        <v>0</v>
      </c>
      <c r="Q199" s="50">
        <v>0</v>
      </c>
      <c r="R199" s="50">
        <v>0</v>
      </c>
      <c r="S199" s="94">
        <f>H199</f>
        <v>9500989.1799999997</v>
      </c>
      <c r="T199" s="66">
        <v>2017</v>
      </c>
      <c r="U199" s="66">
        <v>2017</v>
      </c>
      <c r="V199" s="152" t="s">
        <v>145</v>
      </c>
      <c r="W199" s="153">
        <v>5</v>
      </c>
      <c r="X199" s="154" t="s">
        <v>155</v>
      </c>
    </row>
    <row r="200" spans="1:26" ht="18" customHeight="1">
      <c r="A200" s="327" t="s">
        <v>263</v>
      </c>
      <c r="B200" s="333"/>
      <c r="C200" s="47"/>
      <c r="D200" s="47"/>
      <c r="E200" s="195"/>
      <c r="F200" s="96">
        <f t="shared" ref="F200:O200" si="11">SUM(F63:F199)</f>
        <v>474073.29999999981</v>
      </c>
      <c r="G200" s="96">
        <f t="shared" si="11"/>
        <v>423201.34</v>
      </c>
      <c r="H200" s="52">
        <f t="shared" si="11"/>
        <v>465943188.33000004</v>
      </c>
      <c r="I200" s="52">
        <f t="shared" si="11"/>
        <v>157356129.78000006</v>
      </c>
      <c r="J200" s="52">
        <f t="shared" si="11"/>
        <v>91802451.829999998</v>
      </c>
      <c r="K200" s="52">
        <f t="shared" si="11"/>
        <v>156733739.22999999</v>
      </c>
      <c r="L200" s="52">
        <f t="shared" si="11"/>
        <v>0</v>
      </c>
      <c r="M200" s="52">
        <f t="shared" si="11"/>
        <v>44302034.170000002</v>
      </c>
      <c r="N200" s="52">
        <f t="shared" si="11"/>
        <v>78994.079999999987</v>
      </c>
      <c r="O200" s="52">
        <f t="shared" si="11"/>
        <v>15669839.239999998</v>
      </c>
      <c r="P200" s="52">
        <f>SUM(P63:P199)</f>
        <v>0</v>
      </c>
      <c r="Q200" s="52">
        <f>SUM(Q63:Q199)</f>
        <v>0</v>
      </c>
      <c r="R200" s="52">
        <f>SUM(R63:R199)</f>
        <v>0</v>
      </c>
      <c r="S200" s="96">
        <f>SUM(S63:S199)</f>
        <v>465943188.33000004</v>
      </c>
      <c r="T200" s="22" t="s">
        <v>113</v>
      </c>
      <c r="U200" s="22" t="s">
        <v>113</v>
      </c>
    </row>
    <row r="201" spans="1:26" ht="18" customHeight="1">
      <c r="A201" s="329" t="s">
        <v>50</v>
      </c>
      <c r="B201" s="330"/>
      <c r="C201" s="330"/>
      <c r="D201" s="330"/>
      <c r="E201" s="331"/>
      <c r="F201" s="330"/>
      <c r="G201" s="330"/>
      <c r="H201" s="330"/>
      <c r="I201" s="330"/>
      <c r="J201" s="330"/>
      <c r="K201" s="330"/>
      <c r="L201" s="330"/>
      <c r="M201" s="330"/>
      <c r="N201" s="330"/>
      <c r="O201" s="330"/>
      <c r="P201" s="330"/>
      <c r="Q201" s="330"/>
      <c r="R201" s="330"/>
      <c r="S201" s="332"/>
      <c r="T201" s="36"/>
      <c r="U201" s="36"/>
    </row>
    <row r="202" spans="1:26" s="24" customFormat="1" ht="18" customHeight="1">
      <c r="A202" s="47">
        <f>A199+1</f>
        <v>176</v>
      </c>
      <c r="B202" s="113" t="s">
        <v>467</v>
      </c>
      <c r="C202" s="381">
        <v>1959</v>
      </c>
      <c r="D202" s="382"/>
      <c r="E202" s="382"/>
      <c r="F202" s="192">
        <v>1365</v>
      </c>
      <c r="G202" s="193">
        <v>1110.3</v>
      </c>
      <c r="H202" s="50">
        <f>I202+J202+K202+L202+M202+N202+O202</f>
        <v>3693957</v>
      </c>
      <c r="I202" s="50">
        <f>ROUND((191.67+290.35+292.97+727.06)*G202,2)-83860.66</f>
        <v>1583865.4600000002</v>
      </c>
      <c r="J202" s="49">
        <v>0</v>
      </c>
      <c r="K202" s="49">
        <f>ROUND(1824.94*G202,2)-101887.86</f>
        <v>1924343.0199999998</v>
      </c>
      <c r="L202" s="49">
        <v>0</v>
      </c>
      <c r="M202" s="49">
        <v>0</v>
      </c>
      <c r="N202" s="49">
        <v>0</v>
      </c>
      <c r="O202" s="49">
        <v>185748.52</v>
      </c>
      <c r="P202" s="49">
        <v>0</v>
      </c>
      <c r="Q202" s="49">
        <v>0</v>
      </c>
      <c r="R202" s="49">
        <v>0</v>
      </c>
      <c r="S202" s="50">
        <f>H202</f>
        <v>3693957</v>
      </c>
      <c r="T202" s="66">
        <v>2017</v>
      </c>
      <c r="U202" s="66">
        <v>2017</v>
      </c>
      <c r="V202" s="66"/>
      <c r="W202" s="114"/>
      <c r="X202" s="114"/>
    </row>
    <row r="203" spans="1:26" s="24" customFormat="1" ht="18" customHeight="1">
      <c r="A203" s="47">
        <f t="shared" ref="A203:A209" si="12">A202+1</f>
        <v>177</v>
      </c>
      <c r="B203" s="191" t="s">
        <v>252</v>
      </c>
      <c r="C203" s="252">
        <v>1954</v>
      </c>
      <c r="D203" s="47"/>
      <c r="E203" s="47"/>
      <c r="F203" s="63">
        <v>1865.5</v>
      </c>
      <c r="G203" s="62">
        <v>838</v>
      </c>
      <c r="H203" s="50">
        <f>I203+J203+K203+L203+M203+N203+O203</f>
        <v>1702204.2599999998</v>
      </c>
      <c r="I203" s="49">
        <f>ROUND((332.83+748.38+197.29+298.86+301.56)*G203,2)-94472.1</f>
        <v>1480062.8599999999</v>
      </c>
      <c r="J203" s="49">
        <v>0</v>
      </c>
      <c r="K203" s="49"/>
      <c r="L203" s="49">
        <f>ROUND(152.35*G203,2)-7660.16</f>
        <v>120009.14</v>
      </c>
      <c r="M203" s="49">
        <v>0</v>
      </c>
      <c r="N203" s="49">
        <v>0</v>
      </c>
      <c r="O203" s="49">
        <v>102132.26</v>
      </c>
      <c r="P203" s="49">
        <v>0</v>
      </c>
      <c r="Q203" s="49">
        <v>0</v>
      </c>
      <c r="R203" s="49">
        <v>0</v>
      </c>
      <c r="S203" s="94">
        <f>H203</f>
        <v>1702204.2599999998</v>
      </c>
      <c r="T203" s="66">
        <v>2017</v>
      </c>
      <c r="U203" s="66">
        <v>2017</v>
      </c>
      <c r="V203" s="253" t="s">
        <v>145</v>
      </c>
      <c r="W203" s="55">
        <v>2</v>
      </c>
      <c r="X203" s="254" t="s">
        <v>156</v>
      </c>
    </row>
    <row r="204" spans="1:26" s="24" customFormat="1" ht="18" customHeight="1">
      <c r="A204" s="47">
        <f t="shared" si="12"/>
        <v>178</v>
      </c>
      <c r="B204" s="191" t="s">
        <v>253</v>
      </c>
      <c r="C204" s="252">
        <v>1987</v>
      </c>
      <c r="D204" s="47"/>
      <c r="E204" s="47"/>
      <c r="F204" s="63">
        <v>8669.4</v>
      </c>
      <c r="G204" s="62">
        <v>7684.9</v>
      </c>
      <c r="H204" s="50">
        <f>I204+J204+K204+L204+M204+N204+O204</f>
        <v>7965936.8000000007</v>
      </c>
      <c r="I204" s="49">
        <f>ROUND(332.83*G204,2)-49211.68</f>
        <v>2508553.59</v>
      </c>
      <c r="J204" s="49">
        <v>0</v>
      </c>
      <c r="K204" s="49">
        <f>ROUND(703.74*G204,2)-104053.8</f>
        <v>5304117.7300000004</v>
      </c>
      <c r="L204" s="49">
        <v>0</v>
      </c>
      <c r="M204" s="49">
        <v>0</v>
      </c>
      <c r="N204" s="49">
        <v>0</v>
      </c>
      <c r="O204" s="49">
        <v>153265.48000000001</v>
      </c>
      <c r="P204" s="49">
        <v>0</v>
      </c>
      <c r="Q204" s="49">
        <v>0</v>
      </c>
      <c r="R204" s="49">
        <v>0</v>
      </c>
      <c r="S204" s="94">
        <f>H204</f>
        <v>7965936.8000000007</v>
      </c>
      <c r="T204" s="66">
        <v>2017</v>
      </c>
      <c r="U204" s="66">
        <v>2017</v>
      </c>
      <c r="V204" s="253" t="s">
        <v>144</v>
      </c>
      <c r="W204" s="55">
        <v>9</v>
      </c>
      <c r="X204" s="254"/>
    </row>
    <row r="205" spans="1:26" s="24" customFormat="1" ht="18" customHeight="1">
      <c r="A205" s="47">
        <f t="shared" si="12"/>
        <v>179</v>
      </c>
      <c r="B205" s="191" t="s">
        <v>255</v>
      </c>
      <c r="C205" s="252">
        <v>1952</v>
      </c>
      <c r="D205" s="47"/>
      <c r="E205" s="47"/>
      <c r="F205" s="63">
        <v>565.79999999999995</v>
      </c>
      <c r="G205" s="62">
        <v>519.70000000000005</v>
      </c>
      <c r="H205" s="50">
        <f>I205+J205+K205+L205+M205+N205+O205</f>
        <v>2188789.31</v>
      </c>
      <c r="I205" s="49">
        <v>0</v>
      </c>
      <c r="J205" s="49">
        <v>0</v>
      </c>
      <c r="K205" s="49">
        <f>ROUND(4211.64*G205,2)-O205</f>
        <v>2114639.29</v>
      </c>
      <c r="L205" s="49">
        <v>0</v>
      </c>
      <c r="M205" s="49">
        <v>0</v>
      </c>
      <c r="N205" s="49">
        <v>0</v>
      </c>
      <c r="O205" s="49">
        <v>74150.02</v>
      </c>
      <c r="P205" s="49">
        <v>0</v>
      </c>
      <c r="Q205" s="49">
        <v>0</v>
      </c>
      <c r="R205" s="49">
        <v>0</v>
      </c>
      <c r="S205" s="94">
        <f>H205</f>
        <v>2188789.31</v>
      </c>
      <c r="T205" s="66">
        <v>2017</v>
      </c>
      <c r="U205" s="66">
        <v>2017</v>
      </c>
      <c r="V205" s="253" t="s">
        <v>145</v>
      </c>
      <c r="W205" s="55">
        <v>2</v>
      </c>
      <c r="X205" s="254" t="s">
        <v>156</v>
      </c>
    </row>
    <row r="206" spans="1:26" s="24" customFormat="1" ht="18" customHeight="1">
      <c r="A206" s="47">
        <f t="shared" si="12"/>
        <v>180</v>
      </c>
      <c r="B206" s="191" t="s">
        <v>254</v>
      </c>
      <c r="C206" s="252">
        <v>1956</v>
      </c>
      <c r="D206" s="47"/>
      <c r="E206" s="47"/>
      <c r="F206" s="63">
        <v>1637.1</v>
      </c>
      <c r="G206" s="62">
        <v>860.6</v>
      </c>
      <c r="H206" s="50">
        <f>I206+J206+K206+L206+M206+N206+O206</f>
        <v>4597480.0999999996</v>
      </c>
      <c r="I206" s="49">
        <f>ROUND((332.83+197.29+298.86+301.56)*860.6,2)-29278.16</f>
        <v>943664.55999999994</v>
      </c>
      <c r="J206" s="49">
        <v>0</v>
      </c>
      <c r="K206" s="49">
        <f>ROUND(4211.64*G206,2)-109070.94</f>
        <v>3515466.44</v>
      </c>
      <c r="L206" s="49">
        <v>0</v>
      </c>
      <c r="M206" s="49">
        <v>0</v>
      </c>
      <c r="N206" s="49">
        <v>0</v>
      </c>
      <c r="O206" s="49">
        <v>138349.1</v>
      </c>
      <c r="P206" s="49">
        <v>0</v>
      </c>
      <c r="Q206" s="49">
        <v>0</v>
      </c>
      <c r="R206" s="49">
        <v>0</v>
      </c>
      <c r="S206" s="94">
        <f>H206</f>
        <v>4597480.0999999996</v>
      </c>
      <c r="T206" s="66">
        <v>2017</v>
      </c>
      <c r="U206" s="66">
        <v>2017</v>
      </c>
      <c r="V206" s="253" t="s">
        <v>145</v>
      </c>
      <c r="W206" s="55">
        <v>2</v>
      </c>
      <c r="X206" s="254" t="s">
        <v>156</v>
      </c>
    </row>
    <row r="207" spans="1:26" s="24" customFormat="1" ht="18" customHeight="1">
      <c r="A207" s="47">
        <f t="shared" si="12"/>
        <v>181</v>
      </c>
      <c r="B207" s="113" t="s">
        <v>257</v>
      </c>
      <c r="C207" s="252">
        <v>1954</v>
      </c>
      <c r="D207" s="47"/>
      <c r="E207" s="47"/>
      <c r="F207" s="63">
        <f>656.2+71.2+493.8</f>
        <v>1221.2</v>
      </c>
      <c r="G207" s="62">
        <v>615.6</v>
      </c>
      <c r="H207" s="50">
        <f>I207+J207+K207+L207+M207+N207+O207</f>
        <v>3288646</v>
      </c>
      <c r="I207" s="49">
        <f>ROUND((332.83+197.29+298.86+301.56)*G207,2)-28814.93</f>
        <v>667145.49</v>
      </c>
      <c r="J207" s="49">
        <v>0</v>
      </c>
      <c r="K207" s="49">
        <f>ROUND(4211.64*G207,2)-107345.27</f>
        <v>2485340.31</v>
      </c>
      <c r="L207" s="49">
        <v>0</v>
      </c>
      <c r="M207" s="49">
        <v>0</v>
      </c>
      <c r="N207" s="49">
        <v>0</v>
      </c>
      <c r="O207" s="49">
        <v>136160.20000000001</v>
      </c>
      <c r="P207" s="49">
        <v>0</v>
      </c>
      <c r="Q207" s="49">
        <v>0</v>
      </c>
      <c r="R207" s="49">
        <v>0</v>
      </c>
      <c r="S207" s="94">
        <f>H207</f>
        <v>3288646</v>
      </c>
      <c r="T207" s="66">
        <v>2017</v>
      </c>
      <c r="U207" s="66">
        <v>2017</v>
      </c>
      <c r="V207" s="253" t="s">
        <v>145</v>
      </c>
      <c r="W207" s="55">
        <v>2</v>
      </c>
      <c r="X207" s="114"/>
    </row>
    <row r="208" spans="1:26" s="24" customFormat="1" ht="18" customHeight="1">
      <c r="A208" s="47">
        <f t="shared" si="12"/>
        <v>182</v>
      </c>
      <c r="B208" s="191" t="s">
        <v>258</v>
      </c>
      <c r="C208" s="380">
        <v>1989</v>
      </c>
      <c r="D208" s="111"/>
      <c r="E208" s="111"/>
      <c r="F208" s="63">
        <v>17676.8</v>
      </c>
      <c r="G208" s="193">
        <v>15344.5</v>
      </c>
      <c r="H208" s="50">
        <f>I208+J208+K208+L208+M208+N208+O208</f>
        <v>6075603.3200000003</v>
      </c>
      <c r="I208" s="49">
        <v>0</v>
      </c>
      <c r="J208" s="50">
        <f>3037801.66*2</f>
        <v>6075603.3200000003</v>
      </c>
      <c r="K208" s="49">
        <v>0</v>
      </c>
      <c r="L208" s="49">
        <v>0</v>
      </c>
      <c r="M208" s="49">
        <v>0</v>
      </c>
      <c r="N208" s="49">
        <v>0</v>
      </c>
      <c r="O208" s="49">
        <v>0</v>
      </c>
      <c r="P208" s="49">
        <v>0</v>
      </c>
      <c r="Q208" s="49">
        <v>0</v>
      </c>
      <c r="R208" s="49">
        <v>0</v>
      </c>
      <c r="S208" s="94">
        <f>H208</f>
        <v>6075603.3200000003</v>
      </c>
      <c r="T208" s="66">
        <v>2017</v>
      </c>
      <c r="U208" s="66">
        <v>2017</v>
      </c>
      <c r="V208" s="383" t="s">
        <v>144</v>
      </c>
      <c r="W208" s="384">
        <v>9</v>
      </c>
      <c r="Z208" s="194"/>
    </row>
    <row r="209" spans="1:26" s="24" customFormat="1" ht="18" customHeight="1">
      <c r="A209" s="47">
        <f t="shared" si="12"/>
        <v>183</v>
      </c>
      <c r="B209" s="113" t="s">
        <v>256</v>
      </c>
      <c r="C209" s="252">
        <v>1988</v>
      </c>
      <c r="D209" s="47"/>
      <c r="E209" s="47"/>
      <c r="F209" s="63">
        <f>3408.6+529.5+1029</f>
        <v>4967.1000000000004</v>
      </c>
      <c r="G209" s="62">
        <v>3408.6</v>
      </c>
      <c r="H209" s="50">
        <f>I209+J209+K209+L209+M209+N209+O209</f>
        <v>5216589.6100000003</v>
      </c>
      <c r="I209" s="49">
        <f>ROUND((293.24+214.38+716.06)*G209,2)-237791.67</f>
        <v>3933243.98</v>
      </c>
      <c r="J209" s="49">
        <v>0</v>
      </c>
      <c r="K209" s="49">
        <v>0</v>
      </c>
      <c r="L209" s="49">
        <v>0</v>
      </c>
      <c r="M209" s="49">
        <f>ROUND(306.74*G209,2)-59607.27</f>
        <v>985946.69</v>
      </c>
      <c r="N209" s="49">
        <v>0</v>
      </c>
      <c r="O209" s="49">
        <v>297398.94</v>
      </c>
      <c r="P209" s="49">
        <v>0</v>
      </c>
      <c r="Q209" s="49">
        <v>0</v>
      </c>
      <c r="R209" s="49">
        <v>0</v>
      </c>
      <c r="S209" s="94">
        <f>H209</f>
        <v>5216589.6100000003</v>
      </c>
      <c r="T209" s="66">
        <v>2017</v>
      </c>
      <c r="U209" s="66">
        <v>2017</v>
      </c>
      <c r="V209" s="253" t="s">
        <v>144</v>
      </c>
      <c r="W209" s="55">
        <v>5</v>
      </c>
      <c r="X209" s="114"/>
    </row>
    <row r="210" spans="1:26" ht="18" customHeight="1">
      <c r="A210" s="327" t="s">
        <v>263</v>
      </c>
      <c r="B210" s="333"/>
      <c r="C210" s="47"/>
      <c r="D210" s="47"/>
      <c r="E210" s="195"/>
      <c r="F210" s="65">
        <f t="shared" ref="F210:O210" si="13">SUM(F202:F209)</f>
        <v>37967.9</v>
      </c>
      <c r="G210" s="65">
        <f t="shared" si="13"/>
        <v>30382.199999999997</v>
      </c>
      <c r="H210" s="52">
        <f t="shared" si="13"/>
        <v>34729206.399999999</v>
      </c>
      <c r="I210" s="46">
        <f t="shared" si="13"/>
        <v>11116535.939999999</v>
      </c>
      <c r="J210" s="46">
        <f t="shared" si="13"/>
        <v>6075603.3200000003</v>
      </c>
      <c r="K210" s="46">
        <f t="shared" si="13"/>
        <v>15343906.789999999</v>
      </c>
      <c r="L210" s="46">
        <f t="shared" si="13"/>
        <v>120009.14</v>
      </c>
      <c r="M210" s="46">
        <f t="shared" si="13"/>
        <v>985946.69</v>
      </c>
      <c r="N210" s="46">
        <f t="shared" si="13"/>
        <v>0</v>
      </c>
      <c r="O210" s="46">
        <f t="shared" si="13"/>
        <v>1087204.52</v>
      </c>
      <c r="P210" s="46">
        <f>SUM(P202:P209)</f>
        <v>0</v>
      </c>
      <c r="Q210" s="46">
        <f>SUM(Q202:Q209)</f>
        <v>0</v>
      </c>
      <c r="R210" s="46">
        <f>SUM(R202:R209)</f>
        <v>0</v>
      </c>
      <c r="S210" s="96">
        <f>SUM(S202:S209)</f>
        <v>34729206.399999999</v>
      </c>
      <c r="T210" s="22" t="s">
        <v>113</v>
      </c>
      <c r="U210" s="22" t="s">
        <v>113</v>
      </c>
    </row>
    <row r="211" spans="1:26" ht="18" customHeight="1">
      <c r="A211" s="329" t="s">
        <v>51</v>
      </c>
      <c r="B211" s="330"/>
      <c r="C211" s="330"/>
      <c r="D211" s="330"/>
      <c r="E211" s="331"/>
      <c r="F211" s="330"/>
      <c r="G211" s="330"/>
      <c r="H211" s="330"/>
      <c r="I211" s="330"/>
      <c r="J211" s="330"/>
      <c r="K211" s="330"/>
      <c r="L211" s="330"/>
      <c r="M211" s="330"/>
      <c r="N211" s="330"/>
      <c r="O211" s="330"/>
      <c r="P211" s="330"/>
      <c r="Q211" s="330"/>
      <c r="R211" s="330"/>
      <c r="S211" s="332"/>
      <c r="T211" s="36"/>
      <c r="U211" s="36"/>
    </row>
    <row r="212" spans="1:26" s="24" customFormat="1" ht="18" customHeight="1">
      <c r="A212" s="47">
        <f>A209+1</f>
        <v>184</v>
      </c>
      <c r="B212" s="48" t="s">
        <v>520</v>
      </c>
      <c r="C212" s="47">
        <v>1971</v>
      </c>
      <c r="D212" s="47"/>
      <c r="E212" s="195"/>
      <c r="F212" s="200">
        <v>3185.8</v>
      </c>
      <c r="G212" s="50">
        <v>3006.32</v>
      </c>
      <c r="H212" s="50">
        <f>I212+J212+K212+L212+M212+N212+O212</f>
        <v>576221.35</v>
      </c>
      <c r="I212" s="49">
        <f>ROUND(191.67*G212,2)-O212</f>
        <v>541648.06999999995</v>
      </c>
      <c r="J212" s="49">
        <v>0</v>
      </c>
      <c r="K212" s="49">
        <v>0</v>
      </c>
      <c r="L212" s="49">
        <v>0</v>
      </c>
      <c r="M212" s="49">
        <v>0</v>
      </c>
      <c r="N212" s="49">
        <v>0</v>
      </c>
      <c r="O212" s="49">
        <v>34573.279999999999</v>
      </c>
      <c r="P212" s="49">
        <v>0</v>
      </c>
      <c r="Q212" s="49">
        <v>0</v>
      </c>
      <c r="R212" s="49">
        <v>0</v>
      </c>
      <c r="S212" s="50">
        <f>H212</f>
        <v>576221.35</v>
      </c>
      <c r="T212" s="66">
        <v>2016</v>
      </c>
      <c r="U212" s="66">
        <v>2017</v>
      </c>
      <c r="V212" s="48" t="s">
        <v>145</v>
      </c>
      <c r="W212" s="48">
        <v>5</v>
      </c>
    </row>
    <row r="213" spans="1:26" s="24" customFormat="1" ht="18" customHeight="1">
      <c r="A213" s="47">
        <f>A212+1</f>
        <v>185</v>
      </c>
      <c r="B213" s="48" t="s">
        <v>272</v>
      </c>
      <c r="C213" s="47">
        <v>1970</v>
      </c>
      <c r="D213" s="47"/>
      <c r="E213" s="195"/>
      <c r="F213" s="32">
        <v>4533.8</v>
      </c>
      <c r="G213" s="32">
        <v>3342.3</v>
      </c>
      <c r="H213" s="50">
        <f>I213+J213+K213+L213+M213+N213+O213</f>
        <v>3529970.15</v>
      </c>
      <c r="I213" s="49">
        <v>0</v>
      </c>
      <c r="J213" s="49">
        <v>0</v>
      </c>
      <c r="K213" s="49">
        <f>ROUND(1056.15*G213,2)-O213</f>
        <v>3423177.79</v>
      </c>
      <c r="L213" s="49">
        <v>0</v>
      </c>
      <c r="M213" s="49">
        <v>0</v>
      </c>
      <c r="N213" s="49">
        <v>0</v>
      </c>
      <c r="O213" s="49">
        <v>106792.36</v>
      </c>
      <c r="P213" s="49">
        <v>0</v>
      </c>
      <c r="Q213" s="49">
        <v>0</v>
      </c>
      <c r="R213" s="49">
        <v>0</v>
      </c>
      <c r="S213" s="94">
        <f>H213</f>
        <v>3529970.15</v>
      </c>
      <c r="T213" s="66">
        <v>2017</v>
      </c>
      <c r="U213" s="66">
        <v>2017</v>
      </c>
      <c r="V213" s="48" t="s">
        <v>145</v>
      </c>
      <c r="W213" s="48">
        <v>5</v>
      </c>
    </row>
    <row r="214" spans="1:26" s="24" customFormat="1" ht="18" customHeight="1">
      <c r="A214" s="47">
        <f t="shared" ref="A214:A227" si="14">A213+1</f>
        <v>186</v>
      </c>
      <c r="B214" s="48" t="s">
        <v>273</v>
      </c>
      <c r="C214" s="47">
        <v>1973</v>
      </c>
      <c r="D214" s="47"/>
      <c r="E214" s="47"/>
      <c r="F214" s="33">
        <v>4024.7</v>
      </c>
      <c r="G214" s="33">
        <v>2929.9</v>
      </c>
      <c r="H214" s="50">
        <f>I214+J214+K214+L214+M214+N214+O214</f>
        <v>869154.84</v>
      </c>
      <c r="I214" s="49">
        <v>0</v>
      </c>
      <c r="J214" s="49">
        <v>0</v>
      </c>
      <c r="K214" s="49">
        <v>0</v>
      </c>
      <c r="L214" s="49">
        <v>0</v>
      </c>
      <c r="M214" s="49">
        <v>0</v>
      </c>
      <c r="N214" s="49">
        <f>ROUND(296.65*G214,2)-O214</f>
        <v>830341.1</v>
      </c>
      <c r="O214" s="49">
        <v>38813.74</v>
      </c>
      <c r="P214" s="49">
        <v>0</v>
      </c>
      <c r="Q214" s="49">
        <v>0</v>
      </c>
      <c r="R214" s="49">
        <v>0</v>
      </c>
      <c r="S214" s="94">
        <f>H214</f>
        <v>869154.84</v>
      </c>
      <c r="T214" s="66">
        <v>2017</v>
      </c>
      <c r="U214" s="66">
        <v>2017</v>
      </c>
      <c r="V214" s="48" t="s">
        <v>145</v>
      </c>
      <c r="W214" s="48">
        <v>5</v>
      </c>
    </row>
    <row r="215" spans="1:26" s="24" customFormat="1" ht="18" customHeight="1">
      <c r="A215" s="47">
        <f t="shared" si="14"/>
        <v>187</v>
      </c>
      <c r="B215" s="48" t="s">
        <v>274</v>
      </c>
      <c r="C215" s="47">
        <v>1985</v>
      </c>
      <c r="D215" s="23"/>
      <c r="E215" s="23"/>
      <c r="F215" s="119">
        <v>2865.8</v>
      </c>
      <c r="G215" s="120">
        <v>2236.6</v>
      </c>
      <c r="H215" s="50">
        <f>I215+J215+K215+L215+M215+N215+O215</f>
        <v>3037801.66</v>
      </c>
      <c r="I215" s="49">
        <v>0</v>
      </c>
      <c r="J215" s="49">
        <v>3037801.66</v>
      </c>
      <c r="K215" s="49">
        <v>0</v>
      </c>
      <c r="L215" s="49">
        <v>0</v>
      </c>
      <c r="M215" s="49">
        <v>0</v>
      </c>
      <c r="N215" s="49">
        <v>0</v>
      </c>
      <c r="O215" s="49">
        <v>0</v>
      </c>
      <c r="P215" s="49">
        <v>0</v>
      </c>
      <c r="Q215" s="49">
        <v>0</v>
      </c>
      <c r="R215" s="49">
        <v>0</v>
      </c>
      <c r="S215" s="94">
        <f>H215</f>
        <v>3037801.66</v>
      </c>
      <c r="T215" s="66">
        <v>2017</v>
      </c>
      <c r="U215" s="66">
        <v>2017</v>
      </c>
      <c r="V215" s="48" t="s">
        <v>144</v>
      </c>
      <c r="W215" s="48">
        <v>9</v>
      </c>
    </row>
    <row r="216" spans="1:26" s="24" customFormat="1" ht="18" customHeight="1">
      <c r="A216" s="47">
        <f t="shared" si="14"/>
        <v>188</v>
      </c>
      <c r="B216" s="48" t="s">
        <v>275</v>
      </c>
      <c r="C216" s="47">
        <v>1985</v>
      </c>
      <c r="D216" s="47"/>
      <c r="E216" s="195"/>
      <c r="F216" s="385">
        <v>2883.3</v>
      </c>
      <c r="G216" s="387">
        <v>2207.5</v>
      </c>
      <c r="H216" s="50">
        <f>I216+J216+K216+L216+M216+N216+O216</f>
        <v>3037801.66</v>
      </c>
      <c r="I216" s="49">
        <v>0</v>
      </c>
      <c r="J216" s="49">
        <v>3037801.66</v>
      </c>
      <c r="K216" s="49">
        <v>0</v>
      </c>
      <c r="L216" s="49">
        <v>0</v>
      </c>
      <c r="M216" s="49">
        <v>0</v>
      </c>
      <c r="N216" s="49">
        <v>0</v>
      </c>
      <c r="O216" s="49">
        <v>0</v>
      </c>
      <c r="P216" s="49">
        <v>0</v>
      </c>
      <c r="Q216" s="49">
        <v>0</v>
      </c>
      <c r="R216" s="49">
        <v>0</v>
      </c>
      <c r="S216" s="94">
        <f>H216</f>
        <v>3037801.66</v>
      </c>
      <c r="T216" s="66">
        <v>2017</v>
      </c>
      <c r="U216" s="66">
        <v>2017</v>
      </c>
      <c r="V216" s="48" t="s">
        <v>144</v>
      </c>
      <c r="W216" s="48">
        <v>9</v>
      </c>
    </row>
    <row r="217" spans="1:26" s="24" customFormat="1" ht="18" customHeight="1">
      <c r="A217" s="47">
        <f t="shared" si="14"/>
        <v>189</v>
      </c>
      <c r="B217" s="48" t="s">
        <v>276</v>
      </c>
      <c r="C217" s="47">
        <v>1993</v>
      </c>
      <c r="D217" s="47"/>
      <c r="E217" s="195"/>
      <c r="F217" s="32">
        <v>5822.6</v>
      </c>
      <c r="G217" s="32">
        <v>4150.8</v>
      </c>
      <c r="H217" s="50">
        <f>I217+J217+K217+L217+M217+N217+O217</f>
        <v>4751669.8099999996</v>
      </c>
      <c r="I217" s="49">
        <v>0</v>
      </c>
      <c r="J217" s="49">
        <v>0</v>
      </c>
      <c r="K217" s="49">
        <v>0</v>
      </c>
      <c r="L217" s="49">
        <v>0</v>
      </c>
      <c r="M217" s="49">
        <f>ROUND(1144.76*G217,2)-O217</f>
        <v>4466569.6199999992</v>
      </c>
      <c r="N217" s="49">
        <v>0</v>
      </c>
      <c r="O217" s="49">
        <v>285100.19</v>
      </c>
      <c r="P217" s="49">
        <v>0</v>
      </c>
      <c r="Q217" s="49">
        <v>0</v>
      </c>
      <c r="R217" s="49">
        <v>0</v>
      </c>
      <c r="S217" s="94">
        <f>H217</f>
        <v>4751669.8099999996</v>
      </c>
      <c r="T217" s="66">
        <v>2017</v>
      </c>
      <c r="U217" s="66">
        <v>2017</v>
      </c>
      <c r="V217" s="229" t="s">
        <v>145</v>
      </c>
      <c r="W217" s="48">
        <v>5</v>
      </c>
    </row>
    <row r="218" spans="1:26" s="24" customFormat="1" ht="18" customHeight="1">
      <c r="A218" s="47">
        <f t="shared" si="14"/>
        <v>190</v>
      </c>
      <c r="B218" s="48" t="s">
        <v>117</v>
      </c>
      <c r="C218" s="47">
        <v>1954</v>
      </c>
      <c r="D218" s="47"/>
      <c r="E218" s="195"/>
      <c r="F218" s="32">
        <v>563.29999999999995</v>
      </c>
      <c r="G218" s="32">
        <v>517.70000000000005</v>
      </c>
      <c r="H218" s="50">
        <f>I218+J218+K218+L218+M218+N218+O218</f>
        <v>776094.43</v>
      </c>
      <c r="I218" s="49">
        <v>0</v>
      </c>
      <c r="J218" s="49">
        <v>0</v>
      </c>
      <c r="K218" s="49">
        <v>0</v>
      </c>
      <c r="L218" s="49">
        <v>0</v>
      </c>
      <c r="M218" s="49">
        <f>ROUND(1346.77*G218,2)-43082.77</f>
        <v>654140.05999999994</v>
      </c>
      <c r="N218" s="49">
        <f>ROUND(152.35*G218,2)-3482.9</f>
        <v>75388.700000000012</v>
      </c>
      <c r="O218" s="49">
        <v>46565.67</v>
      </c>
      <c r="P218" s="49">
        <v>0</v>
      </c>
      <c r="Q218" s="49">
        <v>0</v>
      </c>
      <c r="R218" s="49">
        <v>0</v>
      </c>
      <c r="S218" s="94">
        <f>H218</f>
        <v>776094.43</v>
      </c>
      <c r="T218" s="66">
        <v>2017</v>
      </c>
      <c r="U218" s="66">
        <v>2017</v>
      </c>
      <c r="V218" s="48" t="s">
        <v>145</v>
      </c>
      <c r="W218" s="48">
        <v>2</v>
      </c>
    </row>
    <row r="219" spans="1:26" s="24" customFormat="1" ht="18" customHeight="1">
      <c r="A219" s="47">
        <f t="shared" si="14"/>
        <v>191</v>
      </c>
      <c r="B219" s="48" t="s">
        <v>277</v>
      </c>
      <c r="C219" s="47">
        <v>1957</v>
      </c>
      <c r="D219" s="47"/>
      <c r="E219" s="195"/>
      <c r="F219" s="32">
        <v>243.8</v>
      </c>
      <c r="G219" s="32">
        <v>221.2</v>
      </c>
      <c r="H219" s="50">
        <f>I219+J219+K219+L219+M219+N219+O219</f>
        <v>931614.77</v>
      </c>
      <c r="I219" s="49">
        <v>0</v>
      </c>
      <c r="J219" s="49">
        <v>0</v>
      </c>
      <c r="K219" s="49">
        <f>ROUND(4211.64*G219,2)-O219</f>
        <v>877352.47</v>
      </c>
      <c r="L219" s="49">
        <v>0</v>
      </c>
      <c r="M219" s="49">
        <v>0</v>
      </c>
      <c r="N219" s="49">
        <v>0</v>
      </c>
      <c r="O219" s="49">
        <v>54262.3</v>
      </c>
      <c r="P219" s="49">
        <v>0</v>
      </c>
      <c r="Q219" s="49">
        <v>0</v>
      </c>
      <c r="R219" s="49">
        <v>0</v>
      </c>
      <c r="S219" s="94">
        <f>H219</f>
        <v>931614.77</v>
      </c>
      <c r="T219" s="66">
        <v>2017</v>
      </c>
      <c r="U219" s="66">
        <v>2017</v>
      </c>
      <c r="V219" s="48" t="s">
        <v>145</v>
      </c>
      <c r="W219" s="48">
        <v>2</v>
      </c>
    </row>
    <row r="220" spans="1:26" s="24" customFormat="1" ht="18" customHeight="1">
      <c r="A220" s="47">
        <f t="shared" si="14"/>
        <v>192</v>
      </c>
      <c r="B220" s="48" t="s">
        <v>278</v>
      </c>
      <c r="C220" s="47">
        <v>1954</v>
      </c>
      <c r="D220" s="47"/>
      <c r="E220" s="195"/>
      <c r="F220" s="32">
        <v>991.4</v>
      </c>
      <c r="G220" s="32">
        <v>867.3</v>
      </c>
      <c r="H220" s="50">
        <f>I220+J220+K220+L220+M220+N220+O220</f>
        <v>3652755.37</v>
      </c>
      <c r="I220" s="49">
        <v>0</v>
      </c>
      <c r="J220" s="49">
        <v>0</v>
      </c>
      <c r="K220" s="49">
        <f>ROUND(4211.64*G220,2)-O220</f>
        <v>3579312.17</v>
      </c>
      <c r="L220" s="49">
        <v>0</v>
      </c>
      <c r="M220" s="49">
        <v>0</v>
      </c>
      <c r="N220" s="49">
        <v>0</v>
      </c>
      <c r="O220" s="49">
        <v>73443.199999999997</v>
      </c>
      <c r="P220" s="49">
        <v>0</v>
      </c>
      <c r="Q220" s="49">
        <v>0</v>
      </c>
      <c r="R220" s="49">
        <v>0</v>
      </c>
      <c r="S220" s="94">
        <f>H220</f>
        <v>3652755.37</v>
      </c>
      <c r="T220" s="66">
        <v>2017</v>
      </c>
      <c r="U220" s="66">
        <v>2017</v>
      </c>
      <c r="V220" s="48" t="s">
        <v>145</v>
      </c>
      <c r="W220" s="48">
        <v>2</v>
      </c>
    </row>
    <row r="221" spans="1:26" s="24" customFormat="1" ht="18" customHeight="1">
      <c r="A221" s="47">
        <f t="shared" si="14"/>
        <v>193</v>
      </c>
      <c r="B221" s="48" t="s">
        <v>510</v>
      </c>
      <c r="C221" s="37">
        <v>1955</v>
      </c>
      <c r="D221" s="37"/>
      <c r="E221" s="214"/>
      <c r="F221" s="200">
        <v>555.70000000000005</v>
      </c>
      <c r="G221" s="200">
        <v>513.9</v>
      </c>
      <c r="H221" s="50">
        <f>I221+J221+K221+L221+M221+N221+O221</f>
        <v>171041.34</v>
      </c>
      <c r="I221" s="49">
        <f>ROUND(332.83*G221,2)-O221</f>
        <v>160778.85999999999</v>
      </c>
      <c r="J221" s="49">
        <v>0</v>
      </c>
      <c r="K221" s="49">
        <v>0</v>
      </c>
      <c r="L221" s="49">
        <v>0</v>
      </c>
      <c r="M221" s="49">
        <v>0</v>
      </c>
      <c r="N221" s="49">
        <v>0</v>
      </c>
      <c r="O221" s="49">
        <v>10262.48</v>
      </c>
      <c r="P221" s="49">
        <v>0</v>
      </c>
      <c r="Q221" s="49">
        <v>0</v>
      </c>
      <c r="R221" s="49">
        <v>0</v>
      </c>
      <c r="S221" s="50">
        <f>H221</f>
        <v>171041.34</v>
      </c>
      <c r="T221" s="66">
        <v>2016</v>
      </c>
      <c r="U221" s="66">
        <v>2017</v>
      </c>
      <c r="V221" s="48" t="s">
        <v>145</v>
      </c>
      <c r="W221" s="48" t="s">
        <v>16</v>
      </c>
      <c r="Z221" s="257">
        <f>497999.93-S221</f>
        <v>326958.58999999997</v>
      </c>
    </row>
    <row r="222" spans="1:26" s="24" customFormat="1" ht="18" customHeight="1">
      <c r="A222" s="47">
        <f t="shared" si="14"/>
        <v>194</v>
      </c>
      <c r="B222" s="48" t="s">
        <v>280</v>
      </c>
      <c r="C222" s="47">
        <v>1956</v>
      </c>
      <c r="D222" s="47"/>
      <c r="E222" s="195"/>
      <c r="F222" s="32">
        <v>243.1</v>
      </c>
      <c r="G222" s="32">
        <v>220.9</v>
      </c>
      <c r="H222" s="50">
        <f>I222+J222+K222+L222+M222+N222+O222</f>
        <v>1227852.77</v>
      </c>
      <c r="I222" s="49">
        <v>0</v>
      </c>
      <c r="J222" s="49">
        <v>0</v>
      </c>
      <c r="K222" s="49">
        <f>ROUND(4211.64*G222,2)-55821.08</f>
        <v>874530.20000000007</v>
      </c>
      <c r="L222" s="49">
        <v>0</v>
      </c>
      <c r="M222" s="49">
        <f>ROUND(1346.77*G222,2)-17850.09</f>
        <v>279651.39999999997</v>
      </c>
      <c r="N222" s="49">
        <v>0</v>
      </c>
      <c r="O222" s="49">
        <v>73671.17</v>
      </c>
      <c r="P222" s="49">
        <v>0</v>
      </c>
      <c r="Q222" s="49">
        <v>0</v>
      </c>
      <c r="R222" s="49">
        <v>0</v>
      </c>
      <c r="S222" s="94">
        <f>H222</f>
        <v>1227852.77</v>
      </c>
      <c r="T222" s="66">
        <v>2017</v>
      </c>
      <c r="U222" s="66">
        <v>2017</v>
      </c>
      <c r="V222" s="48" t="s">
        <v>145</v>
      </c>
      <c r="W222" s="48">
        <v>2</v>
      </c>
    </row>
    <row r="223" spans="1:26" s="24" customFormat="1" ht="18" customHeight="1">
      <c r="A223" s="47">
        <f t="shared" si="14"/>
        <v>195</v>
      </c>
      <c r="B223" s="48" t="s">
        <v>508</v>
      </c>
      <c r="C223" s="37">
        <v>1954</v>
      </c>
      <c r="D223" s="37"/>
      <c r="E223" s="214"/>
      <c r="F223" s="200">
        <v>994.2</v>
      </c>
      <c r="G223" s="200">
        <v>870.8</v>
      </c>
      <c r="H223" s="50">
        <f>I223+J223+K223+L223+M223+N223+O223</f>
        <v>552426.81000000006</v>
      </c>
      <c r="I223" s="49">
        <f>ROUND((332.83+301.56)*G223,2)-O223</f>
        <v>519281.20000000007</v>
      </c>
      <c r="J223" s="49">
        <v>0</v>
      </c>
      <c r="K223" s="49">
        <v>0</v>
      </c>
      <c r="L223" s="49">
        <v>0</v>
      </c>
      <c r="M223" s="49">
        <v>0</v>
      </c>
      <c r="N223" s="49">
        <v>0</v>
      </c>
      <c r="O223" s="49">
        <v>33145.61</v>
      </c>
      <c r="P223" s="49">
        <v>0</v>
      </c>
      <c r="Q223" s="49">
        <v>0</v>
      </c>
      <c r="R223" s="49">
        <v>0</v>
      </c>
      <c r="S223" s="50">
        <f>H223</f>
        <v>552426.81000000006</v>
      </c>
      <c r="T223" s="66">
        <v>2016</v>
      </c>
      <c r="U223" s="66">
        <v>2017</v>
      </c>
      <c r="V223" s="48" t="s">
        <v>145</v>
      </c>
      <c r="W223" s="48" t="s">
        <v>16</v>
      </c>
      <c r="Z223" s="257">
        <f>992285.31-S223</f>
        <v>439858.5</v>
      </c>
    </row>
    <row r="224" spans="1:26" s="24" customFormat="1" ht="18" customHeight="1">
      <c r="A224" s="47">
        <f t="shared" si="14"/>
        <v>196</v>
      </c>
      <c r="B224" s="255" t="s">
        <v>509</v>
      </c>
      <c r="C224" s="214">
        <v>1955</v>
      </c>
      <c r="D224" s="214"/>
      <c r="E224" s="214"/>
      <c r="F224" s="256">
        <v>234.1</v>
      </c>
      <c r="G224" s="256">
        <v>212.3</v>
      </c>
      <c r="H224" s="188">
        <f>I224+J224+K224+L224+M224+N224+O224</f>
        <v>134681</v>
      </c>
      <c r="I224" s="189">
        <f>ROUND((332.83+301.56)*G224,2)-O224</f>
        <v>126600.14</v>
      </c>
      <c r="J224" s="189">
        <v>0</v>
      </c>
      <c r="K224" s="189">
        <v>0</v>
      </c>
      <c r="L224" s="189">
        <v>0</v>
      </c>
      <c r="M224" s="189">
        <v>0</v>
      </c>
      <c r="N224" s="189">
        <v>0</v>
      </c>
      <c r="O224" s="189">
        <v>8080.86</v>
      </c>
      <c r="P224" s="189">
        <v>0</v>
      </c>
      <c r="Q224" s="189">
        <v>0</v>
      </c>
      <c r="R224" s="189">
        <v>0</v>
      </c>
      <c r="S224" s="188">
        <f>H224</f>
        <v>134681</v>
      </c>
      <c r="T224" s="66">
        <v>2016</v>
      </c>
      <c r="U224" s="66">
        <v>2017</v>
      </c>
      <c r="V224" s="255" t="s">
        <v>145</v>
      </c>
      <c r="W224" s="255" t="s">
        <v>15</v>
      </c>
      <c r="Z224" s="257">
        <f>274089.92-S224</f>
        <v>139408.91999999998</v>
      </c>
    </row>
    <row r="225" spans="1:26" s="24" customFormat="1" ht="18" customHeight="1">
      <c r="A225" s="47">
        <f t="shared" si="14"/>
        <v>197</v>
      </c>
      <c r="B225" s="255" t="s">
        <v>281</v>
      </c>
      <c r="C225" s="195">
        <v>1953</v>
      </c>
      <c r="D225" s="195"/>
      <c r="E225" s="195"/>
      <c r="F225" s="386">
        <v>996.3</v>
      </c>
      <c r="G225" s="386">
        <v>889.1</v>
      </c>
      <c r="H225" s="188">
        <f>I225+J225+K225+L225+M225+N225+O225</f>
        <v>3744569.12</v>
      </c>
      <c r="I225" s="189">
        <v>0</v>
      </c>
      <c r="J225" s="189">
        <v>0</v>
      </c>
      <c r="K225" s="189">
        <f>ROUND(4211.64*G225,2)-O225</f>
        <v>3674826.4</v>
      </c>
      <c r="L225" s="189">
        <v>0</v>
      </c>
      <c r="M225" s="189">
        <v>0</v>
      </c>
      <c r="N225" s="189">
        <v>0</v>
      </c>
      <c r="O225" s="189">
        <v>69742.720000000001</v>
      </c>
      <c r="P225" s="189">
        <v>0</v>
      </c>
      <c r="Q225" s="189">
        <v>0</v>
      </c>
      <c r="R225" s="189">
        <v>0</v>
      </c>
      <c r="S225" s="190">
        <f>H225</f>
        <v>3744569.12</v>
      </c>
      <c r="T225" s="66">
        <v>2017</v>
      </c>
      <c r="U225" s="66">
        <v>2017</v>
      </c>
      <c r="V225" s="255" t="s">
        <v>145</v>
      </c>
      <c r="W225" s="255">
        <v>2</v>
      </c>
    </row>
    <row r="226" spans="1:26" s="24" customFormat="1" ht="18" customHeight="1">
      <c r="A226" s="47">
        <f t="shared" si="14"/>
        <v>198</v>
      </c>
      <c r="B226" s="255" t="s">
        <v>279</v>
      </c>
      <c r="C226" s="195">
        <v>1976</v>
      </c>
      <c r="D226" s="195"/>
      <c r="E226" s="195"/>
      <c r="F226" s="386">
        <v>544.79999999999995</v>
      </c>
      <c r="G226" s="386">
        <v>507.8</v>
      </c>
      <c r="H226" s="188">
        <f>I226+J226+K226+L226+M226+N226+O226</f>
        <v>2138670.79</v>
      </c>
      <c r="I226" s="189">
        <v>0</v>
      </c>
      <c r="J226" s="189">
        <v>0</v>
      </c>
      <c r="K226" s="189">
        <f>ROUND(4211.64*G226,2)-O226</f>
        <v>2061671.07</v>
      </c>
      <c r="L226" s="189">
        <v>0</v>
      </c>
      <c r="M226" s="189">
        <v>0</v>
      </c>
      <c r="N226" s="189">
        <v>0</v>
      </c>
      <c r="O226" s="189">
        <v>76999.72</v>
      </c>
      <c r="P226" s="189">
        <v>0</v>
      </c>
      <c r="Q226" s="189">
        <v>0</v>
      </c>
      <c r="R226" s="189">
        <v>0</v>
      </c>
      <c r="S226" s="190">
        <f>H226</f>
        <v>2138670.79</v>
      </c>
      <c r="T226" s="66">
        <v>2017</v>
      </c>
      <c r="U226" s="66">
        <v>2017</v>
      </c>
      <c r="V226" s="255" t="s">
        <v>282</v>
      </c>
      <c r="W226" s="255">
        <v>2</v>
      </c>
    </row>
    <row r="227" spans="1:26" s="24" customFormat="1" ht="18" customHeight="1">
      <c r="A227" s="47">
        <f t="shared" si="14"/>
        <v>199</v>
      </c>
      <c r="B227" s="255" t="s">
        <v>521</v>
      </c>
      <c r="C227" s="195">
        <v>1950</v>
      </c>
      <c r="D227" s="195"/>
      <c r="E227" s="195"/>
      <c r="F227" s="386">
        <v>544.79999999999995</v>
      </c>
      <c r="G227" s="386">
        <v>351.5</v>
      </c>
      <c r="H227" s="188">
        <f>I227+J227+K227+L227+M227+N227+O227</f>
        <v>1480391.46</v>
      </c>
      <c r="I227" s="189">
        <v>0</v>
      </c>
      <c r="J227" s="189">
        <v>0</v>
      </c>
      <c r="K227" s="189">
        <f>ROUND(4211.64*G227,2)-O227</f>
        <v>1416912.18</v>
      </c>
      <c r="L227" s="189">
        <v>0</v>
      </c>
      <c r="M227" s="189">
        <v>0</v>
      </c>
      <c r="N227" s="189">
        <v>0</v>
      </c>
      <c r="O227" s="189">
        <v>63479.28</v>
      </c>
      <c r="P227" s="189">
        <v>0</v>
      </c>
      <c r="Q227" s="189">
        <v>0</v>
      </c>
      <c r="R227" s="189">
        <v>0</v>
      </c>
      <c r="S227" s="190">
        <f>H227</f>
        <v>1480391.46</v>
      </c>
      <c r="T227" s="66">
        <v>2017</v>
      </c>
      <c r="U227" s="66">
        <v>2017</v>
      </c>
      <c r="V227" s="255" t="s">
        <v>282</v>
      </c>
      <c r="W227" s="255">
        <v>2</v>
      </c>
    </row>
    <row r="228" spans="1:26" ht="18" customHeight="1">
      <c r="A228" s="327" t="s">
        <v>263</v>
      </c>
      <c r="B228" s="333"/>
      <c r="C228" s="47"/>
      <c r="D228" s="47"/>
      <c r="E228" s="195"/>
      <c r="F228" s="65">
        <f>SUM(F212:F227)</f>
        <v>29227.499999999996</v>
      </c>
      <c r="G228" s="96">
        <f>SUM(G212:G227)</f>
        <v>23045.920000000002</v>
      </c>
      <c r="H228" s="96">
        <f>SUM(H212:H227)</f>
        <v>30612717.329999998</v>
      </c>
      <c r="I228" s="46">
        <f t="shared" ref="I228:S228" si="15">SUM(I212:I227)</f>
        <v>1348308.2699999998</v>
      </c>
      <c r="J228" s="96">
        <f t="shared" si="15"/>
        <v>6075603.3200000003</v>
      </c>
      <c r="K228" s="96">
        <f t="shared" si="15"/>
        <v>15907782.279999999</v>
      </c>
      <c r="L228" s="46">
        <f t="shared" si="15"/>
        <v>0</v>
      </c>
      <c r="M228" s="96">
        <f t="shared" si="15"/>
        <v>5400361.0799999991</v>
      </c>
      <c r="N228" s="96">
        <f t="shared" si="15"/>
        <v>905729.8</v>
      </c>
      <c r="O228" s="46">
        <f t="shared" si="15"/>
        <v>974932.58</v>
      </c>
      <c r="P228" s="46">
        <f t="shared" si="15"/>
        <v>0</v>
      </c>
      <c r="Q228" s="46">
        <f t="shared" si="15"/>
        <v>0</v>
      </c>
      <c r="R228" s="46">
        <f t="shared" si="15"/>
        <v>0</v>
      </c>
      <c r="S228" s="96">
        <f t="shared" si="15"/>
        <v>30612717.329999998</v>
      </c>
      <c r="T228" s="22" t="s">
        <v>113</v>
      </c>
      <c r="U228" s="22" t="s">
        <v>113</v>
      </c>
    </row>
    <row r="229" spans="1:26" ht="18" customHeight="1">
      <c r="A229" s="344" t="s">
        <v>30</v>
      </c>
      <c r="B229" s="345"/>
      <c r="C229" s="345"/>
      <c r="D229" s="343"/>
      <c r="E229" s="339"/>
      <c r="F229" s="345"/>
      <c r="G229" s="345"/>
      <c r="H229" s="345"/>
      <c r="I229" s="345"/>
      <c r="J229" s="345"/>
      <c r="K229" s="345"/>
      <c r="L229" s="345"/>
      <c r="M229" s="345"/>
      <c r="N229" s="345"/>
      <c r="O229" s="345"/>
      <c r="P229" s="345"/>
      <c r="Q229" s="345"/>
      <c r="R229" s="345"/>
      <c r="S229" s="346"/>
      <c r="T229" s="28"/>
      <c r="U229" s="29"/>
      <c r="X229" s="8" t="s">
        <v>338</v>
      </c>
      <c r="Y229" s="2" t="s">
        <v>339</v>
      </c>
      <c r="Z229" s="2" t="s">
        <v>340</v>
      </c>
    </row>
    <row r="230" spans="1:26" s="24" customFormat="1" ht="16.5" customHeight="1">
      <c r="A230" s="47">
        <f>A227+1</f>
        <v>200</v>
      </c>
      <c r="B230" s="205" t="s">
        <v>415</v>
      </c>
      <c r="C230" s="147">
        <v>1985</v>
      </c>
      <c r="D230" s="147"/>
      <c r="E230" s="147"/>
      <c r="F230" s="263">
        <v>2349.3000000000002</v>
      </c>
      <c r="G230" s="263">
        <v>2056.5</v>
      </c>
      <c r="H230" s="50">
        <f>I230+J230+K230+L230+M230+N230+O230</f>
        <v>1909789.29</v>
      </c>
      <c r="I230" s="49">
        <v>0</v>
      </c>
      <c r="J230" s="71">
        <v>0</v>
      </c>
      <c r="K230" s="388">
        <f>1909789.29-O230</f>
        <v>1851509.09</v>
      </c>
      <c r="L230" s="49">
        <v>0</v>
      </c>
      <c r="M230" s="49">
        <v>0</v>
      </c>
      <c r="N230" s="49">
        <v>0</v>
      </c>
      <c r="O230" s="49">
        <v>58280.2</v>
      </c>
      <c r="P230" s="49">
        <v>0</v>
      </c>
      <c r="Q230" s="49">
        <v>0</v>
      </c>
      <c r="R230" s="49">
        <v>0</v>
      </c>
      <c r="S230" s="97">
        <f>H230</f>
        <v>1909789.29</v>
      </c>
      <c r="T230" s="66">
        <v>2017</v>
      </c>
      <c r="U230" s="66">
        <v>2017</v>
      </c>
      <c r="V230" s="207" t="s">
        <v>335</v>
      </c>
      <c r="W230" s="208">
        <v>5</v>
      </c>
      <c r="Z230" s="114"/>
    </row>
    <row r="231" spans="1:26" s="24" customFormat="1" ht="16.5" customHeight="1">
      <c r="A231" s="47">
        <f>A230+1</f>
        <v>201</v>
      </c>
      <c r="B231" s="205" t="s">
        <v>417</v>
      </c>
      <c r="C231" s="39">
        <v>1987</v>
      </c>
      <c r="D231" s="39"/>
      <c r="E231" s="39"/>
      <c r="F231" s="264">
        <v>3922.2</v>
      </c>
      <c r="G231" s="264">
        <f>3378.6+62.8</f>
        <v>3441.4</v>
      </c>
      <c r="H231" s="50">
        <f>I231+J231+K231+L231+M231+N231+O231</f>
        <v>779718</v>
      </c>
      <c r="I231" s="49">
        <v>0</v>
      </c>
      <c r="J231" s="49">
        <v>0</v>
      </c>
      <c r="K231" s="210"/>
      <c r="L231" s="49">
        <v>0</v>
      </c>
      <c r="M231" s="388">
        <f>779718-O231</f>
        <v>732934.92</v>
      </c>
      <c r="N231" s="49">
        <v>0</v>
      </c>
      <c r="O231" s="49">
        <v>46783.08</v>
      </c>
      <c r="P231" s="49">
        <v>0</v>
      </c>
      <c r="Q231" s="49">
        <v>0</v>
      </c>
      <c r="R231" s="49">
        <v>0</v>
      </c>
      <c r="S231" s="97">
        <f>H231</f>
        <v>779718</v>
      </c>
      <c r="T231" s="66">
        <v>2017</v>
      </c>
      <c r="U231" s="66">
        <v>2017</v>
      </c>
      <c r="V231" s="207" t="s">
        <v>335</v>
      </c>
      <c r="W231" s="66">
        <v>5</v>
      </c>
      <c r="Y231" s="114"/>
    </row>
    <row r="232" spans="1:26" s="24" customFormat="1" ht="16.5" customHeight="1">
      <c r="A232" s="47">
        <f t="shared" ref="A232:A268" si="16">A231+1</f>
        <v>202</v>
      </c>
      <c r="B232" s="205" t="s">
        <v>416</v>
      </c>
      <c r="C232" s="147">
        <v>1989</v>
      </c>
      <c r="D232" s="147"/>
      <c r="E232" s="147"/>
      <c r="F232" s="263">
        <v>948.4</v>
      </c>
      <c r="G232" s="263">
        <v>856.7</v>
      </c>
      <c r="H232" s="50">
        <f>I232+J232+K232+L232+M232+N232+O232</f>
        <v>795583.02</v>
      </c>
      <c r="I232" s="49">
        <v>0</v>
      </c>
      <c r="J232" s="49">
        <v>0</v>
      </c>
      <c r="K232" s="388">
        <f>795583.02-O232</f>
        <v>747848.04</v>
      </c>
      <c r="L232" s="49">
        <v>0</v>
      </c>
      <c r="M232" s="49">
        <v>0</v>
      </c>
      <c r="N232" s="49">
        <v>0</v>
      </c>
      <c r="O232" s="49">
        <v>47734.98</v>
      </c>
      <c r="P232" s="49">
        <v>0</v>
      </c>
      <c r="Q232" s="49">
        <v>0</v>
      </c>
      <c r="R232" s="49">
        <v>0</v>
      </c>
      <c r="S232" s="97">
        <f>H232</f>
        <v>795583.02</v>
      </c>
      <c r="T232" s="66">
        <v>2017</v>
      </c>
      <c r="U232" s="66">
        <v>2017</v>
      </c>
      <c r="V232" s="207" t="s">
        <v>335</v>
      </c>
      <c r="W232" s="66">
        <v>5</v>
      </c>
      <c r="Z232" s="114"/>
    </row>
    <row r="233" spans="1:26" s="24" customFormat="1" ht="16.5" customHeight="1">
      <c r="A233" s="47">
        <f t="shared" si="16"/>
        <v>203</v>
      </c>
      <c r="B233" s="205" t="s">
        <v>309</v>
      </c>
      <c r="C233" s="39">
        <v>1981</v>
      </c>
      <c r="D233" s="39"/>
      <c r="E233" s="39"/>
      <c r="F233" s="264">
        <v>2377.6</v>
      </c>
      <c r="G233" s="264">
        <v>2086.1999999999998</v>
      </c>
      <c r="H233" s="50">
        <f>I233+J233+K233+L233+M233+N233+O233</f>
        <v>472670.32999999996</v>
      </c>
      <c r="I233" s="49">
        <v>0</v>
      </c>
      <c r="J233" s="49">
        <v>0</v>
      </c>
      <c r="K233" s="49">
        <v>0</v>
      </c>
      <c r="L233" s="49">
        <v>0</v>
      </c>
      <c r="M233" s="388">
        <f>472670.33-O233</f>
        <v>444310.11</v>
      </c>
      <c r="N233" s="49">
        <v>0</v>
      </c>
      <c r="O233" s="49">
        <v>28360.22</v>
      </c>
      <c r="P233" s="49">
        <v>0</v>
      </c>
      <c r="Q233" s="49">
        <v>0</v>
      </c>
      <c r="R233" s="49">
        <v>0</v>
      </c>
      <c r="S233" s="97">
        <f>H233</f>
        <v>472670.32999999996</v>
      </c>
      <c r="T233" s="66">
        <v>2017</v>
      </c>
      <c r="U233" s="66">
        <v>2017</v>
      </c>
      <c r="V233" s="207" t="s">
        <v>335</v>
      </c>
      <c r="W233" s="66">
        <v>5</v>
      </c>
      <c r="Z233" s="114"/>
    </row>
    <row r="234" spans="1:26" s="24" customFormat="1" ht="16.5" customHeight="1">
      <c r="A234" s="47">
        <f t="shared" si="16"/>
        <v>204</v>
      </c>
      <c r="B234" s="205" t="s">
        <v>310</v>
      </c>
      <c r="C234" s="39">
        <v>1981</v>
      </c>
      <c r="D234" s="39"/>
      <c r="E234" s="39"/>
      <c r="F234" s="264">
        <v>3972.2</v>
      </c>
      <c r="G234" s="264">
        <v>3485.8</v>
      </c>
      <c r="H234" s="50">
        <f>I234+J234+K234+L234+M234+N234+O234</f>
        <v>789777.71</v>
      </c>
      <c r="I234" s="49">
        <v>0</v>
      </c>
      <c r="J234" s="49">
        <v>0</v>
      </c>
      <c r="K234" s="49">
        <v>0</v>
      </c>
      <c r="L234" s="49">
        <v>0</v>
      </c>
      <c r="M234" s="388">
        <f>789777.71-O234</f>
        <v>742391.04999999993</v>
      </c>
      <c r="N234" s="49">
        <v>0</v>
      </c>
      <c r="O234" s="49">
        <v>47386.66</v>
      </c>
      <c r="P234" s="49">
        <v>0</v>
      </c>
      <c r="Q234" s="49">
        <v>0</v>
      </c>
      <c r="R234" s="49">
        <v>0</v>
      </c>
      <c r="S234" s="97">
        <f>H234</f>
        <v>789777.71</v>
      </c>
      <c r="T234" s="66">
        <v>2017</v>
      </c>
      <c r="U234" s="66">
        <v>2017</v>
      </c>
      <c r="V234" s="207" t="s">
        <v>335</v>
      </c>
      <c r="W234" s="66">
        <v>5</v>
      </c>
      <c r="Z234" s="114"/>
    </row>
    <row r="235" spans="1:26" s="24" customFormat="1" ht="16.5" customHeight="1">
      <c r="A235" s="47">
        <f t="shared" si="16"/>
        <v>205</v>
      </c>
      <c r="B235" s="205" t="s">
        <v>311</v>
      </c>
      <c r="C235" s="39">
        <v>1981</v>
      </c>
      <c r="D235" s="39"/>
      <c r="E235" s="39"/>
      <c r="F235" s="264">
        <v>3948.1</v>
      </c>
      <c r="G235" s="264">
        <v>3462.2</v>
      </c>
      <c r="H235" s="50">
        <f>I235+J235+K235+L235+M235+N235+O235</f>
        <v>784430.65</v>
      </c>
      <c r="I235" s="320">
        <v>0</v>
      </c>
      <c r="J235" s="49">
        <v>0</v>
      </c>
      <c r="K235" s="49">
        <v>0</v>
      </c>
      <c r="L235" s="49">
        <v>0</v>
      </c>
      <c r="M235" s="388">
        <f>784430.65-O235</f>
        <v>737364.81</v>
      </c>
      <c r="N235" s="49">
        <v>0</v>
      </c>
      <c r="O235" s="49">
        <v>47065.84</v>
      </c>
      <c r="P235" s="49">
        <v>0</v>
      </c>
      <c r="Q235" s="49">
        <v>0</v>
      </c>
      <c r="R235" s="49">
        <v>0</v>
      </c>
      <c r="S235" s="97">
        <f>H235</f>
        <v>784430.65</v>
      </c>
      <c r="T235" s="66">
        <v>2017</v>
      </c>
      <c r="U235" s="66">
        <v>2017</v>
      </c>
      <c r="V235" s="207" t="s">
        <v>335</v>
      </c>
      <c r="W235" s="66">
        <v>5</v>
      </c>
      <c r="X235" s="114"/>
    </row>
    <row r="236" spans="1:26" s="24" customFormat="1" ht="16.5" customHeight="1">
      <c r="A236" s="47">
        <f t="shared" si="16"/>
        <v>206</v>
      </c>
      <c r="B236" s="205" t="s">
        <v>334</v>
      </c>
      <c r="C236" s="147">
        <v>1982</v>
      </c>
      <c r="D236" s="147"/>
      <c r="E236" s="147"/>
      <c r="F236" s="206">
        <v>2380.1</v>
      </c>
      <c r="G236" s="206">
        <v>2087.9</v>
      </c>
      <c r="H236" s="50">
        <f>I236+J236+K236+L236+M236+N236+O236</f>
        <v>1938949.21</v>
      </c>
      <c r="I236" s="320">
        <v>0</v>
      </c>
      <c r="J236" s="49">
        <v>0</v>
      </c>
      <c r="K236" s="388">
        <f>1938949.21-O236</f>
        <v>1880080.19</v>
      </c>
      <c r="L236" s="49">
        <v>0</v>
      </c>
      <c r="M236" s="49">
        <v>0</v>
      </c>
      <c r="N236" s="49">
        <v>0</v>
      </c>
      <c r="O236" s="49">
        <v>58869.02</v>
      </c>
      <c r="P236" s="49">
        <v>0</v>
      </c>
      <c r="Q236" s="49">
        <v>0</v>
      </c>
      <c r="R236" s="49">
        <v>0</v>
      </c>
      <c r="S236" s="97">
        <f>H236</f>
        <v>1938949.21</v>
      </c>
      <c r="T236" s="66">
        <v>2017</v>
      </c>
      <c r="U236" s="66">
        <v>2017</v>
      </c>
      <c r="V236" s="207" t="s">
        <v>335</v>
      </c>
      <c r="W236" s="66">
        <v>5</v>
      </c>
      <c r="X236" s="114"/>
    </row>
    <row r="237" spans="1:26" s="24" customFormat="1" ht="16.5" customHeight="1">
      <c r="A237" s="47">
        <f t="shared" si="16"/>
        <v>207</v>
      </c>
      <c r="B237" s="205" t="s">
        <v>308</v>
      </c>
      <c r="C237" s="39">
        <v>1986</v>
      </c>
      <c r="D237" s="39"/>
      <c r="E237" s="39"/>
      <c r="F237" s="264">
        <v>2331.3000000000002</v>
      </c>
      <c r="G237" s="264">
        <v>2041.6</v>
      </c>
      <c r="H237" s="50">
        <f>I237+J237+K237+L237+M237+N237+O237</f>
        <v>1895952.26</v>
      </c>
      <c r="I237" s="71">
        <v>0</v>
      </c>
      <c r="J237" s="49">
        <v>0</v>
      </c>
      <c r="K237" s="388">
        <f>1895952.26-O237</f>
        <v>1837165.84</v>
      </c>
      <c r="L237" s="49">
        <v>0</v>
      </c>
      <c r="M237" s="49">
        <v>0</v>
      </c>
      <c r="N237" s="49">
        <v>0</v>
      </c>
      <c r="O237" s="49">
        <v>58786.42</v>
      </c>
      <c r="P237" s="49">
        <v>0</v>
      </c>
      <c r="Q237" s="49">
        <v>0</v>
      </c>
      <c r="R237" s="49">
        <v>0</v>
      </c>
      <c r="S237" s="97">
        <f>H237</f>
        <v>1895952.26</v>
      </c>
      <c r="T237" s="66">
        <v>2017</v>
      </c>
      <c r="U237" s="66">
        <v>2017</v>
      </c>
      <c r="V237" s="207" t="s">
        <v>335</v>
      </c>
      <c r="W237" s="66">
        <v>5</v>
      </c>
      <c r="X237" s="114"/>
    </row>
    <row r="238" spans="1:26" s="24" customFormat="1" ht="16.5" customHeight="1">
      <c r="A238" s="47">
        <f t="shared" si="16"/>
        <v>208</v>
      </c>
      <c r="B238" s="205" t="s">
        <v>314</v>
      </c>
      <c r="C238" s="39">
        <v>1993</v>
      </c>
      <c r="D238" s="39"/>
      <c r="E238" s="39"/>
      <c r="F238" s="264">
        <v>3467.4</v>
      </c>
      <c r="G238" s="264">
        <f>2708.1+161.8</f>
        <v>2869.9</v>
      </c>
      <c r="H238" s="50">
        <f>I238+J238+K238+L238+M238+N238+O238</f>
        <v>650233.24</v>
      </c>
      <c r="I238" s="49">
        <v>0</v>
      </c>
      <c r="J238" s="49">
        <v>0</v>
      </c>
      <c r="K238" s="49">
        <v>0</v>
      </c>
      <c r="L238" s="49">
        <v>0</v>
      </c>
      <c r="M238" s="38">
        <f>650233.24-O238</f>
        <v>611219.25</v>
      </c>
      <c r="N238" s="49">
        <v>0</v>
      </c>
      <c r="O238" s="49">
        <v>39013.99</v>
      </c>
      <c r="P238" s="49">
        <v>0</v>
      </c>
      <c r="Q238" s="49">
        <v>0</v>
      </c>
      <c r="R238" s="49">
        <v>0</v>
      </c>
      <c r="S238" s="97">
        <f>H238</f>
        <v>650233.24</v>
      </c>
      <c r="T238" s="66">
        <v>2017</v>
      </c>
      <c r="U238" s="66">
        <v>2017</v>
      </c>
      <c r="V238" s="207" t="s">
        <v>335</v>
      </c>
      <c r="W238" s="66">
        <v>5</v>
      </c>
      <c r="Z238" s="114"/>
    </row>
    <row r="239" spans="1:26" s="24" customFormat="1" ht="16.5" customHeight="1">
      <c r="A239" s="47">
        <f t="shared" si="16"/>
        <v>209</v>
      </c>
      <c r="B239" s="205" t="s">
        <v>414</v>
      </c>
      <c r="C239" s="147">
        <v>1977</v>
      </c>
      <c r="D239" s="147"/>
      <c r="E239" s="147"/>
      <c r="F239" s="206">
        <v>2517.9</v>
      </c>
      <c r="G239" s="206">
        <v>2225.6999999999998</v>
      </c>
      <c r="H239" s="50">
        <f>I239+J239+K239+L239+M239+N239+O239</f>
        <v>2066918.56</v>
      </c>
      <c r="I239" s="49">
        <v>0</v>
      </c>
      <c r="J239" s="49">
        <v>0</v>
      </c>
      <c r="K239" s="388">
        <f>2066918.56-O239</f>
        <v>2004593.32</v>
      </c>
      <c r="L239" s="49">
        <v>0</v>
      </c>
      <c r="M239" s="49">
        <v>0</v>
      </c>
      <c r="N239" s="49">
        <v>0</v>
      </c>
      <c r="O239" s="49">
        <v>62325.24</v>
      </c>
      <c r="P239" s="49">
        <v>0</v>
      </c>
      <c r="Q239" s="49">
        <v>0</v>
      </c>
      <c r="R239" s="49">
        <v>0</v>
      </c>
      <c r="S239" s="97">
        <f>H239</f>
        <v>2066918.56</v>
      </c>
      <c r="T239" s="66">
        <v>2017</v>
      </c>
      <c r="U239" s="66">
        <v>2017</v>
      </c>
      <c r="V239" s="207" t="s">
        <v>335</v>
      </c>
      <c r="W239" s="262" t="s">
        <v>337</v>
      </c>
      <c r="Z239" s="114"/>
    </row>
    <row r="240" spans="1:26" s="24" customFormat="1" ht="16.5" customHeight="1">
      <c r="A240" s="47">
        <f t="shared" si="16"/>
        <v>210</v>
      </c>
      <c r="B240" s="205" t="s">
        <v>312</v>
      </c>
      <c r="C240" s="39">
        <v>1978</v>
      </c>
      <c r="D240" s="39"/>
      <c r="E240" s="39"/>
      <c r="F240" s="264">
        <v>2560.3000000000002</v>
      </c>
      <c r="G240" s="264">
        <f>2062.3+162.6</f>
        <v>2224.9</v>
      </c>
      <c r="H240" s="50">
        <f>I240+J240+K240+L240+M240+N240+O240</f>
        <v>467255.31</v>
      </c>
      <c r="I240" s="49">
        <v>0</v>
      </c>
      <c r="J240" s="49">
        <v>0</v>
      </c>
      <c r="K240" s="49">
        <v>0</v>
      </c>
      <c r="L240" s="49">
        <v>0</v>
      </c>
      <c r="M240" s="388">
        <f>467255.31-O240</f>
        <v>439219.99</v>
      </c>
      <c r="N240" s="49">
        <v>0</v>
      </c>
      <c r="O240" s="49">
        <v>28035.32</v>
      </c>
      <c r="P240" s="49">
        <v>0</v>
      </c>
      <c r="Q240" s="49">
        <v>0</v>
      </c>
      <c r="R240" s="49">
        <v>0</v>
      </c>
      <c r="S240" s="97">
        <f>H240</f>
        <v>467255.31</v>
      </c>
      <c r="T240" s="66">
        <v>2017</v>
      </c>
      <c r="U240" s="66">
        <v>2017</v>
      </c>
      <c r="V240" s="207" t="s">
        <v>335</v>
      </c>
      <c r="W240" s="66">
        <v>5</v>
      </c>
      <c r="Z240" s="114"/>
    </row>
    <row r="241" spans="1:26" s="24" customFormat="1" ht="16.5" customHeight="1">
      <c r="A241" s="47">
        <f t="shared" si="16"/>
        <v>211</v>
      </c>
      <c r="B241" s="205" t="s">
        <v>313</v>
      </c>
      <c r="C241" s="39">
        <v>1978</v>
      </c>
      <c r="D241" s="39"/>
      <c r="E241" s="39"/>
      <c r="F241" s="264">
        <v>2345</v>
      </c>
      <c r="G241" s="264">
        <v>2057.8000000000002</v>
      </c>
      <c r="H241" s="50">
        <f>I241+J241+K241+L241+M241+N241+O241</f>
        <v>466235.75</v>
      </c>
      <c r="I241" s="49">
        <v>0</v>
      </c>
      <c r="J241" s="49">
        <v>0</v>
      </c>
      <c r="K241" s="320">
        <v>0</v>
      </c>
      <c r="L241" s="49">
        <v>0</v>
      </c>
      <c r="M241" s="388">
        <f>466235.75-O241</f>
        <v>438261.6</v>
      </c>
      <c r="N241" s="49">
        <v>0</v>
      </c>
      <c r="O241" s="49">
        <v>27974.15</v>
      </c>
      <c r="P241" s="49">
        <v>0</v>
      </c>
      <c r="Q241" s="49">
        <v>0</v>
      </c>
      <c r="R241" s="49">
        <v>0</v>
      </c>
      <c r="S241" s="97">
        <f>H241</f>
        <v>466235.75</v>
      </c>
      <c r="T241" s="66">
        <v>2017</v>
      </c>
      <c r="U241" s="66">
        <v>2017</v>
      </c>
      <c r="V241" s="207" t="s">
        <v>335</v>
      </c>
      <c r="W241" s="66">
        <v>5</v>
      </c>
      <c r="Y241" s="114"/>
    </row>
    <row r="242" spans="1:26" s="24" customFormat="1" ht="16.5" customHeight="1">
      <c r="A242" s="47">
        <f t="shared" si="16"/>
        <v>212</v>
      </c>
      <c r="B242" s="205" t="s">
        <v>326</v>
      </c>
      <c r="C242" s="147">
        <v>1972</v>
      </c>
      <c r="D242" s="147"/>
      <c r="E242" s="147"/>
      <c r="F242" s="206">
        <v>6353.3</v>
      </c>
      <c r="G242" s="206">
        <v>5672.6</v>
      </c>
      <c r="H242" s="50">
        <f>I242+J242+K242+L242+M242+N242+O242</f>
        <v>2633958.36</v>
      </c>
      <c r="I242" s="49">
        <v>0</v>
      </c>
      <c r="J242" s="49">
        <v>0</v>
      </c>
      <c r="K242" s="210">
        <f>2633958.36-O242</f>
        <v>2505097.6399999997</v>
      </c>
      <c r="L242" s="49">
        <v>0</v>
      </c>
      <c r="M242" s="49">
        <v>0</v>
      </c>
      <c r="N242" s="49">
        <v>0</v>
      </c>
      <c r="O242" s="49">
        <v>128860.72</v>
      </c>
      <c r="P242" s="49">
        <v>0</v>
      </c>
      <c r="Q242" s="49">
        <v>0</v>
      </c>
      <c r="R242" s="49">
        <v>0</v>
      </c>
      <c r="S242" s="97">
        <f>H242</f>
        <v>2633958.36</v>
      </c>
      <c r="T242" s="66">
        <v>2017</v>
      </c>
      <c r="U242" s="66">
        <v>2017</v>
      </c>
      <c r="V242" s="207" t="s">
        <v>336</v>
      </c>
      <c r="W242" s="66">
        <v>5</v>
      </c>
      <c r="Y242" s="114">
        <v>1072.45</v>
      </c>
    </row>
    <row r="243" spans="1:26" s="24" customFormat="1" ht="16.5" customHeight="1">
      <c r="A243" s="47">
        <f t="shared" si="16"/>
        <v>213</v>
      </c>
      <c r="B243" s="259" t="s">
        <v>493</v>
      </c>
      <c r="C243" s="39">
        <v>1962</v>
      </c>
      <c r="D243" s="39"/>
      <c r="E243" s="39"/>
      <c r="F243" s="260">
        <v>1197.3</v>
      </c>
      <c r="G243" s="260">
        <v>1020.1</v>
      </c>
      <c r="H243" s="188">
        <f>I243+J243+K243+L243+M243+N243+O243</f>
        <v>932922.25</v>
      </c>
      <c r="I243" s="189">
        <v>0</v>
      </c>
      <c r="J243" s="189">
        <v>0</v>
      </c>
      <c r="K243" s="38">
        <f>932922.25-O243</f>
        <v>876946.91</v>
      </c>
      <c r="L243" s="189">
        <v>0</v>
      </c>
      <c r="M243" s="189">
        <v>0</v>
      </c>
      <c r="N243" s="189">
        <v>0</v>
      </c>
      <c r="O243" s="189">
        <v>55975.34</v>
      </c>
      <c r="P243" s="189">
        <v>0</v>
      </c>
      <c r="Q243" s="189">
        <v>0</v>
      </c>
      <c r="R243" s="189">
        <v>0</v>
      </c>
      <c r="S243" s="45">
        <f>H243</f>
        <v>932922.25</v>
      </c>
      <c r="T243" s="66">
        <v>2017</v>
      </c>
      <c r="U243" s="66">
        <v>2017</v>
      </c>
      <c r="V243" s="207"/>
      <c r="W243" s="66"/>
      <c r="Y243" s="114"/>
    </row>
    <row r="244" spans="1:26" s="24" customFormat="1" ht="16.5" customHeight="1">
      <c r="A244" s="47">
        <f t="shared" si="16"/>
        <v>214</v>
      </c>
      <c r="B244" s="205" t="s">
        <v>123</v>
      </c>
      <c r="C244" s="147">
        <v>1988</v>
      </c>
      <c r="D244" s="147"/>
      <c r="E244" s="147"/>
      <c r="F244" s="206">
        <v>5635.6</v>
      </c>
      <c r="G244" s="206">
        <v>4965.2</v>
      </c>
      <c r="H244" s="50">
        <f>I244+J244+K244+L244+M244+N244+O244</f>
        <v>600000</v>
      </c>
      <c r="I244" s="388">
        <f>600000-O244</f>
        <v>564000</v>
      </c>
      <c r="J244" s="49">
        <v>0</v>
      </c>
      <c r="K244" s="320">
        <v>0</v>
      </c>
      <c r="L244" s="49">
        <v>0</v>
      </c>
      <c r="M244" s="49">
        <v>0</v>
      </c>
      <c r="N244" s="49">
        <v>0</v>
      </c>
      <c r="O244" s="49">
        <v>36000</v>
      </c>
      <c r="P244" s="49">
        <v>0</v>
      </c>
      <c r="Q244" s="49">
        <v>0</v>
      </c>
      <c r="R244" s="49">
        <v>0</v>
      </c>
      <c r="S244" s="97">
        <f>H244</f>
        <v>600000</v>
      </c>
      <c r="T244" s="66">
        <v>2017</v>
      </c>
      <c r="U244" s="66">
        <v>2017</v>
      </c>
      <c r="V244" s="207" t="s">
        <v>335</v>
      </c>
      <c r="W244" s="66">
        <v>5</v>
      </c>
      <c r="X244" s="389">
        <f>(716.06+293.24)/2</f>
        <v>504.65</v>
      </c>
      <c r="Y244" s="114"/>
    </row>
    <row r="245" spans="1:26" s="24" customFormat="1" ht="16.5" customHeight="1">
      <c r="A245" s="47">
        <f t="shared" si="16"/>
        <v>215</v>
      </c>
      <c r="B245" s="205" t="s">
        <v>323</v>
      </c>
      <c r="C245" s="147">
        <v>1972</v>
      </c>
      <c r="D245" s="147"/>
      <c r="E245" s="147"/>
      <c r="F245" s="206">
        <v>4274.3999999999996</v>
      </c>
      <c r="G245" s="206">
        <v>3950.3</v>
      </c>
      <c r="H245" s="50">
        <f>I245+J245+K245+L245+M245+N245+O245</f>
        <v>3400000</v>
      </c>
      <c r="I245" s="49">
        <v>0</v>
      </c>
      <c r="J245" s="49">
        <v>0</v>
      </c>
      <c r="K245" s="320">
        <v>0</v>
      </c>
      <c r="L245" s="49">
        <v>0</v>
      </c>
      <c r="M245" s="49">
        <f>3400000-O245</f>
        <v>3264020.34</v>
      </c>
      <c r="N245" s="49">
        <v>0</v>
      </c>
      <c r="O245" s="49">
        <v>135979.66</v>
      </c>
      <c r="P245" s="49">
        <v>0</v>
      </c>
      <c r="Q245" s="49">
        <v>0</v>
      </c>
      <c r="R245" s="49">
        <v>0</v>
      </c>
      <c r="S245" s="97">
        <f>H245</f>
        <v>3400000</v>
      </c>
      <c r="T245" s="66">
        <v>2017</v>
      </c>
      <c r="U245" s="66">
        <v>2017</v>
      </c>
      <c r="V245" s="207" t="s">
        <v>145</v>
      </c>
      <c r="W245" s="66">
        <v>5</v>
      </c>
      <c r="Y245" s="114"/>
      <c r="Z245" s="24">
        <v>882.1</v>
      </c>
    </row>
    <row r="246" spans="1:26" s="24" customFormat="1" ht="16.5" customHeight="1">
      <c r="A246" s="47">
        <f t="shared" si="16"/>
        <v>216</v>
      </c>
      <c r="B246" s="205" t="s">
        <v>124</v>
      </c>
      <c r="C246" s="147">
        <v>1969</v>
      </c>
      <c r="D246" s="147"/>
      <c r="E246" s="147"/>
      <c r="F246" s="206">
        <v>4451.8999999999996</v>
      </c>
      <c r="G246" s="206">
        <v>4160.2</v>
      </c>
      <c r="H246" s="50">
        <f>I246+J246+K246+L246+M246+N246+O246</f>
        <v>1000000</v>
      </c>
      <c r="I246" s="388">
        <f>1000000-O246</f>
        <v>940000</v>
      </c>
      <c r="J246" s="49">
        <v>0</v>
      </c>
      <c r="K246" s="320">
        <v>0</v>
      </c>
      <c r="L246" s="49">
        <v>0</v>
      </c>
      <c r="M246" s="49">
        <v>0</v>
      </c>
      <c r="N246" s="49">
        <v>0</v>
      </c>
      <c r="O246" s="49">
        <v>60000</v>
      </c>
      <c r="P246" s="49">
        <v>0</v>
      </c>
      <c r="Q246" s="49">
        <v>0</v>
      </c>
      <c r="R246" s="49">
        <v>0</v>
      </c>
      <c r="S246" s="97">
        <f>H246</f>
        <v>1000000</v>
      </c>
      <c r="T246" s="66">
        <v>2017</v>
      </c>
      <c r="U246" s="66">
        <v>2017</v>
      </c>
      <c r="V246" s="207" t="s">
        <v>145</v>
      </c>
      <c r="W246" s="66">
        <v>6</v>
      </c>
      <c r="X246" s="24">
        <f>(518.04+215)/2</f>
        <v>366.52</v>
      </c>
      <c r="Y246" s="114"/>
    </row>
    <row r="247" spans="1:26" s="24" customFormat="1" ht="16.5" customHeight="1">
      <c r="A247" s="47">
        <f t="shared" si="16"/>
        <v>217</v>
      </c>
      <c r="B247" s="205" t="s">
        <v>331</v>
      </c>
      <c r="C247" s="147">
        <v>1981</v>
      </c>
      <c r="D247" s="147"/>
      <c r="E247" s="147"/>
      <c r="F247" s="206">
        <v>14067.3</v>
      </c>
      <c r="G247" s="206">
        <v>12346</v>
      </c>
      <c r="H247" s="50">
        <f>I247+J247+K247+L247+M247+N247+O247</f>
        <v>700000</v>
      </c>
      <c r="I247" s="210">
        <f>700000-O247</f>
        <v>658000</v>
      </c>
      <c r="J247" s="49">
        <v>0</v>
      </c>
      <c r="K247" s="49">
        <v>0</v>
      </c>
      <c r="L247" s="49">
        <v>0</v>
      </c>
      <c r="M247" s="49">
        <v>0</v>
      </c>
      <c r="N247" s="49">
        <v>0</v>
      </c>
      <c r="O247" s="49">
        <v>42000</v>
      </c>
      <c r="P247" s="49">
        <v>0</v>
      </c>
      <c r="Q247" s="49">
        <v>0</v>
      </c>
      <c r="R247" s="49">
        <v>0</v>
      </c>
      <c r="S247" s="97">
        <f>H247</f>
        <v>700000</v>
      </c>
      <c r="T247" s="66">
        <v>2017</v>
      </c>
      <c r="U247" s="66">
        <v>2017</v>
      </c>
      <c r="V247" s="207" t="s">
        <v>336</v>
      </c>
      <c r="W247" s="66">
        <v>9</v>
      </c>
      <c r="X247" s="128">
        <f>(716.06+293.24)/2</f>
        <v>504.65</v>
      </c>
    </row>
    <row r="248" spans="1:26" s="24" customFormat="1" ht="16.5" customHeight="1">
      <c r="A248" s="47">
        <f t="shared" si="16"/>
        <v>218</v>
      </c>
      <c r="B248" s="205" t="s">
        <v>332</v>
      </c>
      <c r="C248" s="147">
        <v>1979</v>
      </c>
      <c r="D248" s="147"/>
      <c r="E248" s="147"/>
      <c r="F248" s="206">
        <v>7732.7</v>
      </c>
      <c r="G248" s="206">
        <v>6753.5</v>
      </c>
      <c r="H248" s="50">
        <f>I248+J248+K248+L248+M248+N248+O248</f>
        <v>1000000</v>
      </c>
      <c r="I248" s="210">
        <f>1000000-O248</f>
        <v>940000</v>
      </c>
      <c r="J248" s="49">
        <v>0</v>
      </c>
      <c r="K248" s="49">
        <v>0</v>
      </c>
      <c r="L248" s="49">
        <v>0</v>
      </c>
      <c r="M248" s="49">
        <v>0</v>
      </c>
      <c r="N248" s="49">
        <v>0</v>
      </c>
      <c r="O248" s="49">
        <v>60000</v>
      </c>
      <c r="P248" s="49">
        <v>0</v>
      </c>
      <c r="Q248" s="49">
        <v>0</v>
      </c>
      <c r="R248" s="49">
        <v>0</v>
      </c>
      <c r="S248" s="97">
        <f>H248</f>
        <v>1000000</v>
      </c>
      <c r="T248" s="66">
        <v>2017</v>
      </c>
      <c r="U248" s="66">
        <v>2017</v>
      </c>
      <c r="V248" s="207" t="s">
        <v>335</v>
      </c>
      <c r="W248" s="66">
        <v>9</v>
      </c>
      <c r="X248" s="128">
        <f>(716.06+293.24)/2</f>
        <v>504.65</v>
      </c>
    </row>
    <row r="249" spans="1:26" s="24" customFormat="1" ht="16.5" customHeight="1">
      <c r="A249" s="47">
        <f t="shared" si="16"/>
        <v>219</v>
      </c>
      <c r="B249" s="205" t="s">
        <v>322</v>
      </c>
      <c r="C249" s="147">
        <v>1988</v>
      </c>
      <c r="D249" s="147"/>
      <c r="E249" s="147"/>
      <c r="F249" s="206">
        <v>3945.2</v>
      </c>
      <c r="G249" s="206">
        <v>3451.3</v>
      </c>
      <c r="H249" s="50">
        <f>I249+J249+K249+L249+M249+N249+O249</f>
        <v>1089195.77</v>
      </c>
      <c r="I249" s="320">
        <v>0</v>
      </c>
      <c r="J249" s="49">
        <v>0</v>
      </c>
      <c r="K249" s="49">
        <v>0</v>
      </c>
      <c r="L249" s="49">
        <v>0</v>
      </c>
      <c r="M249" s="388">
        <f>1089195.77-O249</f>
        <v>1023844.02</v>
      </c>
      <c r="N249" s="49">
        <v>0</v>
      </c>
      <c r="O249" s="49">
        <v>65351.75</v>
      </c>
      <c r="P249" s="49">
        <v>0</v>
      </c>
      <c r="Q249" s="49">
        <v>0</v>
      </c>
      <c r="R249" s="49">
        <v>0</v>
      </c>
      <c r="S249" s="97">
        <f>H249</f>
        <v>1089195.77</v>
      </c>
      <c r="T249" s="66">
        <v>2017</v>
      </c>
      <c r="U249" s="66">
        <v>2017</v>
      </c>
      <c r="V249" s="207" t="s">
        <v>335</v>
      </c>
      <c r="W249" s="208">
        <v>9</v>
      </c>
      <c r="X249" s="114"/>
      <c r="Z249" s="24">
        <v>1255.74</v>
      </c>
    </row>
    <row r="250" spans="1:26" s="24" customFormat="1" ht="16.5" customHeight="1">
      <c r="A250" s="47">
        <f t="shared" si="16"/>
        <v>220</v>
      </c>
      <c r="B250" s="205" t="s">
        <v>349</v>
      </c>
      <c r="C250" s="147">
        <v>1958</v>
      </c>
      <c r="D250" s="147"/>
      <c r="E250" s="147"/>
      <c r="F250" s="206">
        <v>2773.9</v>
      </c>
      <c r="G250" s="206">
        <v>2534.1999999999998</v>
      </c>
      <c r="H250" s="50">
        <f>I250+J250+K250+L250+M250+N250+O250</f>
        <v>600000</v>
      </c>
      <c r="I250" s="210">
        <f>600000-O250</f>
        <v>564000</v>
      </c>
      <c r="J250" s="49">
        <v>0</v>
      </c>
      <c r="K250" s="49">
        <v>0</v>
      </c>
      <c r="L250" s="49">
        <v>0</v>
      </c>
      <c r="M250" s="49">
        <v>0</v>
      </c>
      <c r="N250" s="49">
        <v>0</v>
      </c>
      <c r="O250" s="49">
        <v>36000</v>
      </c>
      <c r="P250" s="49">
        <v>0</v>
      </c>
      <c r="Q250" s="49">
        <v>0</v>
      </c>
      <c r="R250" s="49">
        <v>0</v>
      </c>
      <c r="S250" s="97">
        <f>H250</f>
        <v>600000</v>
      </c>
      <c r="T250" s="66">
        <v>2017</v>
      </c>
      <c r="U250" s="66">
        <v>2017</v>
      </c>
      <c r="V250" s="207" t="s">
        <v>145</v>
      </c>
      <c r="W250" s="66">
        <v>4</v>
      </c>
      <c r="X250" s="114">
        <f>(518.04+215)/2</f>
        <v>366.52</v>
      </c>
    </row>
    <row r="251" spans="1:26" s="24" customFormat="1" ht="16.5" customHeight="1">
      <c r="A251" s="47">
        <f t="shared" si="16"/>
        <v>221</v>
      </c>
      <c r="B251" s="205" t="s">
        <v>52</v>
      </c>
      <c r="C251" s="147">
        <v>1956</v>
      </c>
      <c r="D251" s="147"/>
      <c r="E251" s="147"/>
      <c r="F251" s="206">
        <v>8299.7000000000007</v>
      </c>
      <c r="G251" s="206">
        <v>7630.3</v>
      </c>
      <c r="H251" s="50">
        <f>I251+J251+K251+L251+M251+N251+O251</f>
        <v>600000</v>
      </c>
      <c r="I251" s="210">
        <f>600000-O251</f>
        <v>564000</v>
      </c>
      <c r="J251" s="49">
        <v>0</v>
      </c>
      <c r="K251" s="49">
        <v>0</v>
      </c>
      <c r="L251" s="49">
        <v>0</v>
      </c>
      <c r="M251" s="49">
        <v>0</v>
      </c>
      <c r="N251" s="49">
        <v>0</v>
      </c>
      <c r="O251" s="49">
        <v>36000</v>
      </c>
      <c r="P251" s="49">
        <v>0</v>
      </c>
      <c r="Q251" s="49">
        <v>0</v>
      </c>
      <c r="R251" s="49">
        <v>0</v>
      </c>
      <c r="S251" s="97">
        <f>H251</f>
        <v>600000</v>
      </c>
      <c r="T251" s="66">
        <v>2017</v>
      </c>
      <c r="U251" s="66">
        <v>2017</v>
      </c>
      <c r="V251" s="207" t="s">
        <v>145</v>
      </c>
      <c r="W251" s="66">
        <v>4</v>
      </c>
      <c r="X251" s="114">
        <f>(518.04+215)/2</f>
        <v>366.52</v>
      </c>
    </row>
    <row r="252" spans="1:26" s="24" customFormat="1" ht="15.75">
      <c r="A252" s="47">
        <f t="shared" si="16"/>
        <v>222</v>
      </c>
      <c r="B252" s="205" t="s">
        <v>327</v>
      </c>
      <c r="C252" s="147">
        <v>1960</v>
      </c>
      <c r="D252" s="147"/>
      <c r="E252" s="147"/>
      <c r="F252" s="206">
        <v>2004.7</v>
      </c>
      <c r="G252" s="206">
        <v>1882.3</v>
      </c>
      <c r="H252" s="50">
        <f>I252+J252+K252+L252+M252+N252+O252</f>
        <v>1300000</v>
      </c>
      <c r="I252" s="320">
        <v>0</v>
      </c>
      <c r="J252" s="49">
        <v>0</v>
      </c>
      <c r="K252" s="388">
        <f>1300000-O252</f>
        <v>1251943.32</v>
      </c>
      <c r="L252" s="49">
        <v>0</v>
      </c>
      <c r="M252" s="49">
        <v>0</v>
      </c>
      <c r="N252" s="49">
        <v>0</v>
      </c>
      <c r="O252" s="49">
        <v>48056.68</v>
      </c>
      <c r="P252" s="49">
        <v>0</v>
      </c>
      <c r="Q252" s="49">
        <v>0</v>
      </c>
      <c r="R252" s="49">
        <v>0</v>
      </c>
      <c r="S252" s="97">
        <f>H252</f>
        <v>1300000</v>
      </c>
      <c r="T252" s="66">
        <v>2017</v>
      </c>
      <c r="U252" s="66">
        <v>2017</v>
      </c>
      <c r="V252" s="207" t="s">
        <v>145</v>
      </c>
      <c r="W252" s="66">
        <v>6</v>
      </c>
      <c r="X252" s="114"/>
      <c r="Y252" s="24">
        <v>1056.1500000000001</v>
      </c>
    </row>
    <row r="253" spans="1:26" s="24" customFormat="1" ht="15.75" customHeight="1">
      <c r="A253" s="47">
        <f t="shared" si="16"/>
        <v>223</v>
      </c>
      <c r="B253" s="205" t="s">
        <v>368</v>
      </c>
      <c r="C253" s="147">
        <v>1938</v>
      </c>
      <c r="D253" s="147" t="s">
        <v>469</v>
      </c>
      <c r="E253" s="147"/>
      <c r="F253" s="206">
        <v>1359.5</v>
      </c>
      <c r="G253" s="206">
        <v>1258.5</v>
      </c>
      <c r="H253" s="50">
        <f>I253+J253+K253+L253+M253+N253+O253</f>
        <v>2942096.13</v>
      </c>
      <c r="I253" s="320">
        <v>0</v>
      </c>
      <c r="J253" s="49">
        <v>0</v>
      </c>
      <c r="K253" s="49">
        <v>0</v>
      </c>
      <c r="L253" s="49">
        <v>0</v>
      </c>
      <c r="M253" s="50">
        <f>2942096.13-O253</f>
        <v>2379301.0299999998</v>
      </c>
      <c r="N253" s="49">
        <v>0</v>
      </c>
      <c r="O253" s="49">
        <v>562795.1</v>
      </c>
      <c r="P253" s="49">
        <v>0</v>
      </c>
      <c r="Q253" s="49">
        <v>0</v>
      </c>
      <c r="R253" s="49">
        <v>0</v>
      </c>
      <c r="S253" s="97">
        <f>H253</f>
        <v>2942096.13</v>
      </c>
      <c r="T253" s="66">
        <v>2017</v>
      </c>
      <c r="U253" s="66">
        <v>2017</v>
      </c>
      <c r="V253" s="207" t="s">
        <v>145</v>
      </c>
      <c r="W253" s="208">
        <v>3</v>
      </c>
      <c r="X253" s="114"/>
      <c r="Z253" s="2" t="s">
        <v>468</v>
      </c>
    </row>
    <row r="254" spans="1:26" s="24" customFormat="1" ht="15.75" customHeight="1">
      <c r="A254" s="47">
        <f t="shared" si="16"/>
        <v>224</v>
      </c>
      <c r="B254" s="205" t="s">
        <v>324</v>
      </c>
      <c r="C254" s="147">
        <v>1991</v>
      </c>
      <c r="D254" s="147"/>
      <c r="E254" s="147"/>
      <c r="F254" s="206">
        <v>4512.8999999999996</v>
      </c>
      <c r="G254" s="206">
        <v>3925.1</v>
      </c>
      <c r="H254" s="50">
        <f>I254+J254+K254+L254+M254+N254+O254</f>
        <v>1000000</v>
      </c>
      <c r="I254" s="320">
        <v>0</v>
      </c>
      <c r="J254" s="49">
        <v>0</v>
      </c>
      <c r="K254" s="388">
        <f>1000000-O254</f>
        <v>940000</v>
      </c>
      <c r="L254" s="49">
        <v>0</v>
      </c>
      <c r="M254" s="49">
        <v>0</v>
      </c>
      <c r="N254" s="49">
        <v>0</v>
      </c>
      <c r="O254" s="49">
        <v>60000</v>
      </c>
      <c r="P254" s="49">
        <v>0</v>
      </c>
      <c r="Q254" s="49">
        <v>0</v>
      </c>
      <c r="R254" s="49">
        <v>0</v>
      </c>
      <c r="S254" s="97">
        <f>H254</f>
        <v>1000000</v>
      </c>
      <c r="T254" s="66">
        <v>2017</v>
      </c>
      <c r="U254" s="66">
        <v>2017</v>
      </c>
      <c r="V254" s="207" t="s">
        <v>335</v>
      </c>
      <c r="W254" s="66">
        <v>9</v>
      </c>
      <c r="X254" s="114"/>
      <c r="Y254" s="24">
        <v>703.74</v>
      </c>
    </row>
    <row r="255" spans="1:26" s="24" customFormat="1" ht="15.75" customHeight="1">
      <c r="A255" s="47">
        <f t="shared" si="16"/>
        <v>225</v>
      </c>
      <c r="B255" s="205" t="s">
        <v>325</v>
      </c>
      <c r="C255" s="147">
        <v>1985</v>
      </c>
      <c r="D255" s="147"/>
      <c r="E255" s="147"/>
      <c r="F255" s="206">
        <v>2331.8000000000002</v>
      </c>
      <c r="G255" s="206">
        <v>2045.8</v>
      </c>
      <c r="H255" s="50">
        <f>I255+J255+K255+L255+M255+N255+O255</f>
        <v>1500000</v>
      </c>
      <c r="I255" s="320">
        <v>0</v>
      </c>
      <c r="J255" s="49">
        <v>0</v>
      </c>
      <c r="K255" s="388">
        <f>1500000-O255</f>
        <v>1442251.98</v>
      </c>
      <c r="L255" s="49">
        <v>0</v>
      </c>
      <c r="M255" s="49">
        <v>0</v>
      </c>
      <c r="N255" s="49">
        <v>0</v>
      </c>
      <c r="O255" s="49">
        <v>57748.02</v>
      </c>
      <c r="P255" s="49">
        <v>0</v>
      </c>
      <c r="Q255" s="49">
        <v>0</v>
      </c>
      <c r="R255" s="49">
        <v>0</v>
      </c>
      <c r="S255" s="97">
        <f>H255</f>
        <v>1500000</v>
      </c>
      <c r="T255" s="66">
        <v>2017</v>
      </c>
      <c r="U255" s="66">
        <v>2017</v>
      </c>
      <c r="V255" s="207" t="s">
        <v>335</v>
      </c>
      <c r="W255" s="66">
        <v>5</v>
      </c>
      <c r="X255" s="114"/>
      <c r="Y255" s="24">
        <v>1072.45</v>
      </c>
    </row>
    <row r="256" spans="1:26" s="24" customFormat="1" ht="15.75" customHeight="1">
      <c r="A256" s="47">
        <f t="shared" si="16"/>
        <v>226</v>
      </c>
      <c r="B256" s="261" t="s">
        <v>333</v>
      </c>
      <c r="C256" s="147">
        <v>1981</v>
      </c>
      <c r="D256" s="147"/>
      <c r="E256" s="147"/>
      <c r="F256" s="206">
        <v>6309</v>
      </c>
      <c r="G256" s="206">
        <v>5541.1</v>
      </c>
      <c r="H256" s="50">
        <f>I256+J256+K256+L256+M256+N256+O256</f>
        <v>500000</v>
      </c>
      <c r="I256" s="388">
        <f>500000-O256</f>
        <v>470000</v>
      </c>
      <c r="J256" s="49">
        <v>0</v>
      </c>
      <c r="K256" s="71">
        <v>0</v>
      </c>
      <c r="L256" s="49">
        <v>0</v>
      </c>
      <c r="M256" s="49">
        <v>0</v>
      </c>
      <c r="N256" s="49">
        <v>0</v>
      </c>
      <c r="O256" s="49">
        <v>30000</v>
      </c>
      <c r="P256" s="49">
        <v>0</v>
      </c>
      <c r="Q256" s="49">
        <v>0</v>
      </c>
      <c r="R256" s="49">
        <v>0</v>
      </c>
      <c r="S256" s="97">
        <f>H256</f>
        <v>500000</v>
      </c>
      <c r="T256" s="66">
        <v>2017</v>
      </c>
      <c r="U256" s="66">
        <v>2017</v>
      </c>
      <c r="V256" s="207" t="s">
        <v>335</v>
      </c>
      <c r="W256" s="66">
        <v>5</v>
      </c>
      <c r="X256" s="389">
        <f>(716.06+293.24)/2</f>
        <v>504.65</v>
      </c>
    </row>
    <row r="257" spans="1:26" s="24" customFormat="1" ht="15.75" customHeight="1">
      <c r="A257" s="47">
        <f t="shared" si="16"/>
        <v>227</v>
      </c>
      <c r="B257" s="205" t="s">
        <v>328</v>
      </c>
      <c r="C257" s="147">
        <v>1978</v>
      </c>
      <c r="D257" s="147"/>
      <c r="E257" s="147"/>
      <c r="F257" s="206">
        <v>7952.7</v>
      </c>
      <c r="G257" s="206">
        <v>6980.7</v>
      </c>
      <c r="H257" s="50">
        <f>I257+J257+K257+L257+M257+N257+O257</f>
        <v>2000000</v>
      </c>
      <c r="I257" s="49">
        <v>0</v>
      </c>
      <c r="J257" s="49">
        <v>0</v>
      </c>
      <c r="K257" s="38">
        <f>2000000-O257</f>
        <v>1880000</v>
      </c>
      <c r="L257" s="49">
        <v>0</v>
      </c>
      <c r="M257" s="49">
        <v>0</v>
      </c>
      <c r="N257" s="49">
        <v>0</v>
      </c>
      <c r="O257" s="49">
        <v>120000</v>
      </c>
      <c r="P257" s="49">
        <v>0</v>
      </c>
      <c r="Q257" s="49">
        <v>0</v>
      </c>
      <c r="R257" s="49">
        <v>0</v>
      </c>
      <c r="S257" s="97">
        <f>H257</f>
        <v>2000000</v>
      </c>
      <c r="T257" s="66">
        <v>2017</v>
      </c>
      <c r="U257" s="66">
        <v>2017</v>
      </c>
      <c r="V257" s="207" t="s">
        <v>335</v>
      </c>
      <c r="W257" s="66">
        <v>5</v>
      </c>
      <c r="Y257" s="24">
        <v>1072.45</v>
      </c>
    </row>
    <row r="258" spans="1:26" s="24" customFormat="1" ht="15.75" customHeight="1">
      <c r="A258" s="47">
        <f t="shared" si="16"/>
        <v>228</v>
      </c>
      <c r="B258" s="205" t="s">
        <v>329</v>
      </c>
      <c r="C258" s="147">
        <v>1972</v>
      </c>
      <c r="D258" s="147"/>
      <c r="E258" s="147"/>
      <c r="F258" s="206">
        <v>4528</v>
      </c>
      <c r="G258" s="206">
        <v>4203.8999999999996</v>
      </c>
      <c r="H258" s="50">
        <f>I258+J258+K258+L258+M258+N258+O258</f>
        <v>700000</v>
      </c>
      <c r="I258" s="388">
        <f>700000-O258</f>
        <v>658000</v>
      </c>
      <c r="J258" s="49">
        <v>0</v>
      </c>
      <c r="K258" s="71">
        <v>0</v>
      </c>
      <c r="L258" s="49">
        <v>0</v>
      </c>
      <c r="M258" s="49">
        <v>0</v>
      </c>
      <c r="N258" s="49">
        <v>0</v>
      </c>
      <c r="O258" s="49">
        <v>42000</v>
      </c>
      <c r="P258" s="49">
        <v>0</v>
      </c>
      <c r="Q258" s="49">
        <v>0</v>
      </c>
      <c r="R258" s="49">
        <v>0</v>
      </c>
      <c r="S258" s="97">
        <f>H258</f>
        <v>700000</v>
      </c>
      <c r="T258" s="66">
        <v>2017</v>
      </c>
      <c r="U258" s="66">
        <v>2017</v>
      </c>
      <c r="V258" s="207" t="s">
        <v>145</v>
      </c>
      <c r="W258" s="66">
        <v>5</v>
      </c>
      <c r="X258" s="24">
        <f>(518.04+215)/2</f>
        <v>366.52</v>
      </c>
    </row>
    <row r="259" spans="1:26" s="24" customFormat="1" ht="15.75" customHeight="1">
      <c r="A259" s="47">
        <f t="shared" si="16"/>
        <v>229</v>
      </c>
      <c r="B259" s="205" t="s">
        <v>330</v>
      </c>
      <c r="C259" s="147">
        <v>1972</v>
      </c>
      <c r="D259" s="147"/>
      <c r="E259" s="147"/>
      <c r="F259" s="206">
        <v>4349.8999999999996</v>
      </c>
      <c r="G259" s="206">
        <v>3995.7</v>
      </c>
      <c r="H259" s="50">
        <f>I259+J259+K259+L259+M259+N259+O259</f>
        <v>900000</v>
      </c>
      <c r="I259" s="388">
        <f>900000-O259</f>
        <v>846000</v>
      </c>
      <c r="J259" s="49">
        <v>0</v>
      </c>
      <c r="K259" s="71">
        <v>0</v>
      </c>
      <c r="L259" s="49">
        <v>0</v>
      </c>
      <c r="M259" s="49">
        <v>0</v>
      </c>
      <c r="N259" s="49">
        <v>0</v>
      </c>
      <c r="O259" s="49">
        <v>54000</v>
      </c>
      <c r="P259" s="49">
        <v>0</v>
      </c>
      <c r="Q259" s="49">
        <v>0</v>
      </c>
      <c r="R259" s="49">
        <v>0</v>
      </c>
      <c r="S259" s="97">
        <f>H259</f>
        <v>900000</v>
      </c>
      <c r="T259" s="66">
        <v>2017</v>
      </c>
      <c r="U259" s="66">
        <v>2017</v>
      </c>
      <c r="V259" s="207" t="s">
        <v>336</v>
      </c>
      <c r="W259" s="66">
        <v>5</v>
      </c>
      <c r="X259" s="389">
        <f>(716.06+293.24)/2</f>
        <v>504.65</v>
      </c>
    </row>
    <row r="260" spans="1:26" s="24" customFormat="1" ht="15.75" customHeight="1">
      <c r="A260" s="47">
        <f t="shared" si="16"/>
        <v>230</v>
      </c>
      <c r="B260" s="205" t="s">
        <v>315</v>
      </c>
      <c r="C260" s="39">
        <v>1991</v>
      </c>
      <c r="D260" s="39"/>
      <c r="E260" s="39"/>
      <c r="F260" s="264">
        <v>6432.4</v>
      </c>
      <c r="G260" s="264">
        <v>5529.3</v>
      </c>
      <c r="H260" s="50">
        <f>I260+J260+K260+L260+M260+N260+O260</f>
        <v>3216685.47</v>
      </c>
      <c r="I260" s="49">
        <v>0</v>
      </c>
      <c r="J260" s="49">
        <v>0</v>
      </c>
      <c r="K260" s="38">
        <f>3216685.47-O260</f>
        <v>3128774.29</v>
      </c>
      <c r="L260" s="49">
        <v>0</v>
      </c>
      <c r="M260" s="71">
        <v>0</v>
      </c>
      <c r="N260" s="49">
        <v>0</v>
      </c>
      <c r="O260" s="49">
        <v>87911.18</v>
      </c>
      <c r="P260" s="49">
        <v>0</v>
      </c>
      <c r="Q260" s="49">
        <v>0</v>
      </c>
      <c r="R260" s="49">
        <v>0</v>
      </c>
      <c r="S260" s="97">
        <f>H260</f>
        <v>3216685.47</v>
      </c>
      <c r="T260" s="66">
        <v>2017</v>
      </c>
      <c r="U260" s="66">
        <v>2017</v>
      </c>
      <c r="V260" s="207" t="s">
        <v>335</v>
      </c>
      <c r="W260" s="66">
        <v>9</v>
      </c>
      <c r="Y260" s="24">
        <v>703.74</v>
      </c>
    </row>
    <row r="261" spans="1:26" s="24" customFormat="1" ht="15.75" customHeight="1">
      <c r="A261" s="47">
        <f t="shared" si="16"/>
        <v>231</v>
      </c>
      <c r="B261" s="205" t="s">
        <v>317</v>
      </c>
      <c r="C261" s="147">
        <v>1975</v>
      </c>
      <c r="D261" s="147"/>
      <c r="E261" s="147"/>
      <c r="F261" s="206">
        <v>2550.3000000000002</v>
      </c>
      <c r="G261" s="206">
        <v>2193.9</v>
      </c>
      <c r="H261" s="50">
        <f>I261+J261+K261+L261+M261+N261+O261</f>
        <v>1984556.42</v>
      </c>
      <c r="I261" s="49">
        <v>0</v>
      </c>
      <c r="J261" s="49">
        <v>0</v>
      </c>
      <c r="K261" s="38">
        <f>1984556.42-O261</f>
        <v>1921618.76</v>
      </c>
      <c r="L261" s="49">
        <v>0</v>
      </c>
      <c r="M261" s="49">
        <v>0</v>
      </c>
      <c r="N261" s="49">
        <v>0</v>
      </c>
      <c r="O261" s="49">
        <v>62937.66</v>
      </c>
      <c r="P261" s="49">
        <v>0</v>
      </c>
      <c r="Q261" s="49">
        <v>0</v>
      </c>
      <c r="R261" s="49">
        <v>0</v>
      </c>
      <c r="S261" s="97">
        <f>H261</f>
        <v>1984556.42</v>
      </c>
      <c r="T261" s="66">
        <v>2017</v>
      </c>
      <c r="U261" s="66">
        <v>2017</v>
      </c>
      <c r="V261" s="207" t="s">
        <v>335</v>
      </c>
      <c r="W261" s="208">
        <v>5</v>
      </c>
      <c r="Y261" s="24">
        <v>1072.45</v>
      </c>
    </row>
    <row r="262" spans="1:26" s="24" customFormat="1" ht="15.75" customHeight="1">
      <c r="A262" s="47">
        <f t="shared" si="16"/>
        <v>232</v>
      </c>
      <c r="B262" s="205" t="s">
        <v>319</v>
      </c>
      <c r="C262" s="147">
        <v>1981</v>
      </c>
      <c r="D262" s="147"/>
      <c r="E262" s="147"/>
      <c r="F262" s="206">
        <v>16115.4</v>
      </c>
      <c r="G262" s="206">
        <v>13758.2</v>
      </c>
      <c r="H262" s="50">
        <f>I262+J262+K262+L262+M262+N262+O262</f>
        <v>1465679.95</v>
      </c>
      <c r="I262" s="49">
        <v>0</v>
      </c>
      <c r="J262" s="49">
        <v>0</v>
      </c>
      <c r="K262" s="49">
        <v>0</v>
      </c>
      <c r="L262" s="49">
        <v>0</v>
      </c>
      <c r="M262" s="71">
        <f>1465679.95-O262</f>
        <v>1377739.15</v>
      </c>
      <c r="N262" s="49">
        <v>0</v>
      </c>
      <c r="O262" s="49">
        <v>87940.800000000003</v>
      </c>
      <c r="P262" s="49">
        <v>0</v>
      </c>
      <c r="Q262" s="49">
        <v>0</v>
      </c>
      <c r="R262" s="49">
        <v>0</v>
      </c>
      <c r="S262" s="97">
        <f>H262</f>
        <v>1465679.95</v>
      </c>
      <c r="T262" s="66">
        <v>2017</v>
      </c>
      <c r="U262" s="66">
        <v>2017</v>
      </c>
      <c r="V262" s="207" t="s">
        <v>336</v>
      </c>
      <c r="W262" s="208">
        <v>9</v>
      </c>
      <c r="Z262" s="24">
        <v>427.25</v>
      </c>
    </row>
    <row r="263" spans="1:26" s="24" customFormat="1" ht="15.75" customHeight="1">
      <c r="A263" s="47">
        <f t="shared" si="16"/>
        <v>233</v>
      </c>
      <c r="B263" s="205" t="s">
        <v>122</v>
      </c>
      <c r="C263" s="147">
        <v>1986</v>
      </c>
      <c r="D263" s="147"/>
      <c r="E263" s="147"/>
      <c r="F263" s="206">
        <v>7735.7</v>
      </c>
      <c r="G263" s="206">
        <v>6554.1</v>
      </c>
      <c r="H263" s="50">
        <f>I263+J263+K263+L263+M263+N263+O263</f>
        <v>5681700.1299999999</v>
      </c>
      <c r="I263" s="388">
        <f>1134206.1+1400000+3147494.03-O263</f>
        <v>5507913.2699999996</v>
      </c>
      <c r="J263" s="49">
        <v>0</v>
      </c>
      <c r="K263" s="49">
        <v>0</v>
      </c>
      <c r="L263" s="49">
        <v>0</v>
      </c>
      <c r="M263" s="71">
        <v>0</v>
      </c>
      <c r="N263" s="49">
        <v>0</v>
      </c>
      <c r="O263" s="49">
        <v>173786.86</v>
      </c>
      <c r="P263" s="49">
        <v>0</v>
      </c>
      <c r="Q263" s="49">
        <v>0</v>
      </c>
      <c r="R263" s="49">
        <v>0</v>
      </c>
      <c r="S263" s="97">
        <f>H263</f>
        <v>5681700.1299999999</v>
      </c>
      <c r="T263" s="66">
        <v>2017</v>
      </c>
      <c r="U263" s="66">
        <v>2017</v>
      </c>
      <c r="V263" s="207" t="s">
        <v>335</v>
      </c>
      <c r="W263" s="208">
        <v>9</v>
      </c>
      <c r="X263" s="24">
        <f>332.83+229.94+304.67+715.89</f>
        <v>1583.33</v>
      </c>
    </row>
    <row r="264" spans="1:26" s="24" customFormat="1" ht="15.75" customHeight="1">
      <c r="A264" s="47">
        <f t="shared" si="16"/>
        <v>234</v>
      </c>
      <c r="B264" s="205" t="s">
        <v>321</v>
      </c>
      <c r="C264" s="147">
        <v>1988</v>
      </c>
      <c r="D264" s="147"/>
      <c r="E264" s="147"/>
      <c r="F264" s="206">
        <v>5805.8</v>
      </c>
      <c r="G264" s="206">
        <v>4935.6000000000004</v>
      </c>
      <c r="H264" s="50">
        <f>I264+J264+K264+L264+M264+N264+O264</f>
        <v>1900878.5899999999</v>
      </c>
      <c r="I264" s="388">
        <f>850878.59+1050000-O264</f>
        <v>1786825.8699999999</v>
      </c>
      <c r="J264" s="49">
        <v>0</v>
      </c>
      <c r="K264" s="49">
        <v>0</v>
      </c>
      <c r="L264" s="49">
        <v>0</v>
      </c>
      <c r="M264" s="71">
        <v>0</v>
      </c>
      <c r="N264" s="49">
        <v>0</v>
      </c>
      <c r="O264" s="49">
        <v>114052.72</v>
      </c>
      <c r="P264" s="49">
        <v>0</v>
      </c>
      <c r="Q264" s="49">
        <v>0</v>
      </c>
      <c r="R264" s="49">
        <v>0</v>
      </c>
      <c r="S264" s="97">
        <f>H264</f>
        <v>1900878.5899999999</v>
      </c>
      <c r="T264" s="66">
        <v>2017</v>
      </c>
      <c r="U264" s="66">
        <v>2017</v>
      </c>
      <c r="V264" s="207" t="s">
        <v>335</v>
      </c>
      <c r="W264" s="258">
        <v>9</v>
      </c>
      <c r="X264" s="24">
        <f>332.83+229.94+304.67+715.89</f>
        <v>1583.33</v>
      </c>
    </row>
    <row r="265" spans="1:26" s="24" customFormat="1" ht="15.75" customHeight="1">
      <c r="A265" s="47">
        <f t="shared" si="16"/>
        <v>235</v>
      </c>
      <c r="B265" s="205" t="s">
        <v>318</v>
      </c>
      <c r="C265" s="147">
        <v>1979</v>
      </c>
      <c r="D265" s="147"/>
      <c r="E265" s="147"/>
      <c r="F265" s="206">
        <v>15928.3</v>
      </c>
      <c r="G265" s="206">
        <v>14600.6</v>
      </c>
      <c r="H265" s="50">
        <f>I265+J265+K265+L265+M265+N265+O265</f>
        <v>1465679.95</v>
      </c>
      <c r="I265" s="49">
        <v>0</v>
      </c>
      <c r="J265" s="49">
        <v>0</v>
      </c>
      <c r="K265" s="49">
        <v>0</v>
      </c>
      <c r="L265" s="49">
        <v>0</v>
      </c>
      <c r="M265" s="71">
        <f>1465679.95-O265</f>
        <v>1377739.15</v>
      </c>
      <c r="N265" s="49">
        <v>0</v>
      </c>
      <c r="O265" s="49">
        <v>87940.800000000003</v>
      </c>
      <c r="P265" s="49">
        <v>0</v>
      </c>
      <c r="Q265" s="49">
        <v>0</v>
      </c>
      <c r="R265" s="49">
        <v>0</v>
      </c>
      <c r="S265" s="97">
        <f>H265</f>
        <v>1465679.95</v>
      </c>
      <c r="T265" s="66">
        <v>2017</v>
      </c>
      <c r="U265" s="66">
        <v>2017</v>
      </c>
      <c r="V265" s="207" t="s">
        <v>336</v>
      </c>
      <c r="W265" s="208">
        <v>9</v>
      </c>
      <c r="Z265" s="24">
        <v>427.25</v>
      </c>
    </row>
    <row r="266" spans="1:26" s="24" customFormat="1" ht="15.75" customHeight="1">
      <c r="A266" s="47">
        <f t="shared" si="16"/>
        <v>236</v>
      </c>
      <c r="B266" s="205" t="s">
        <v>320</v>
      </c>
      <c r="C266" s="147">
        <v>1982</v>
      </c>
      <c r="D266" s="147"/>
      <c r="E266" s="147"/>
      <c r="F266" s="206">
        <v>12217.4</v>
      </c>
      <c r="G266" s="206">
        <v>10261</v>
      </c>
      <c r="H266" s="50">
        <f>I266+J266+K266+L266+M266+N266+O266</f>
        <v>1099259.96</v>
      </c>
      <c r="I266" s="49">
        <v>0</v>
      </c>
      <c r="J266" s="49">
        <v>0</v>
      </c>
      <c r="K266" s="49">
        <v>0</v>
      </c>
      <c r="L266" s="49">
        <v>0</v>
      </c>
      <c r="M266" s="71">
        <f>1099259.96-O266</f>
        <v>1033304.36</v>
      </c>
      <c r="N266" s="49">
        <v>0</v>
      </c>
      <c r="O266" s="49">
        <v>65955.600000000006</v>
      </c>
      <c r="P266" s="49">
        <v>0</v>
      </c>
      <c r="Q266" s="49">
        <v>0</v>
      </c>
      <c r="R266" s="49">
        <v>0</v>
      </c>
      <c r="S266" s="97">
        <f>H266</f>
        <v>1099259.96</v>
      </c>
      <c r="T266" s="66">
        <v>2017</v>
      </c>
      <c r="U266" s="66">
        <v>2017</v>
      </c>
      <c r="V266" s="207" t="s">
        <v>336</v>
      </c>
      <c r="W266" s="208">
        <v>9</v>
      </c>
      <c r="Z266" s="24">
        <v>427.25</v>
      </c>
    </row>
    <row r="267" spans="1:26" s="24" customFormat="1" ht="15.75" customHeight="1">
      <c r="A267" s="47">
        <f t="shared" si="16"/>
        <v>237</v>
      </c>
      <c r="B267" s="205" t="s">
        <v>316</v>
      </c>
      <c r="C267" s="147">
        <v>1975</v>
      </c>
      <c r="D267" s="147"/>
      <c r="E267" s="147"/>
      <c r="F267" s="206">
        <v>2856</v>
      </c>
      <c r="G267" s="206">
        <v>2456.5</v>
      </c>
      <c r="H267" s="50">
        <f>I267+J267+K267+L267+M267+N267+O267</f>
        <v>3341112.34</v>
      </c>
      <c r="I267" s="49">
        <v>0</v>
      </c>
      <c r="J267" s="388">
        <v>2544152.91</v>
      </c>
      <c r="K267" s="49">
        <v>0</v>
      </c>
      <c r="L267" s="49">
        <v>0</v>
      </c>
      <c r="M267" s="71">
        <f>796959.43-O267</f>
        <v>596492.69000000006</v>
      </c>
      <c r="N267" s="49">
        <v>0</v>
      </c>
      <c r="O267" s="49">
        <v>200466.74</v>
      </c>
      <c r="P267" s="49">
        <v>0</v>
      </c>
      <c r="Q267" s="49">
        <v>0</v>
      </c>
      <c r="R267" s="49">
        <v>0</v>
      </c>
      <c r="S267" s="97">
        <f>H267</f>
        <v>3341112.34</v>
      </c>
      <c r="T267" s="66">
        <v>2017</v>
      </c>
      <c r="U267" s="66">
        <v>2017</v>
      </c>
      <c r="V267" s="207" t="s">
        <v>287</v>
      </c>
      <c r="W267" s="208">
        <v>9</v>
      </c>
      <c r="Z267" s="24">
        <v>1255.74</v>
      </c>
    </row>
    <row r="268" spans="1:26" s="24" customFormat="1" ht="15.75" customHeight="1">
      <c r="A268" s="47">
        <f t="shared" si="16"/>
        <v>238</v>
      </c>
      <c r="B268" s="205" t="s">
        <v>348</v>
      </c>
      <c r="C268" s="147">
        <v>1990</v>
      </c>
      <c r="D268" s="147"/>
      <c r="E268" s="147"/>
      <c r="F268" s="206">
        <v>2568.6</v>
      </c>
      <c r="G268" s="206">
        <v>2273.9</v>
      </c>
      <c r="H268" s="50">
        <f>I268+J268+K268+L268+M268+N268+O268</f>
        <v>1126239.93</v>
      </c>
      <c r="I268" s="388">
        <f>1126239.93-O268</f>
        <v>1068825.8499999999</v>
      </c>
      <c r="J268" s="49">
        <v>0</v>
      </c>
      <c r="K268" s="71">
        <v>0</v>
      </c>
      <c r="L268" s="49">
        <v>0</v>
      </c>
      <c r="M268" s="49">
        <v>0</v>
      </c>
      <c r="N268" s="49">
        <v>0</v>
      </c>
      <c r="O268" s="49">
        <v>57414.080000000002</v>
      </c>
      <c r="P268" s="49">
        <v>0</v>
      </c>
      <c r="Q268" s="49">
        <v>0</v>
      </c>
      <c r="R268" s="49">
        <v>0</v>
      </c>
      <c r="S268" s="97">
        <f>H268</f>
        <v>1126239.93</v>
      </c>
      <c r="T268" s="66">
        <v>2017</v>
      </c>
      <c r="U268" s="66">
        <v>2017</v>
      </c>
      <c r="V268" s="207" t="s">
        <v>335</v>
      </c>
      <c r="W268" s="66">
        <v>5</v>
      </c>
      <c r="X268" s="24">
        <v>716.06</v>
      </c>
      <c r="Y268" s="114"/>
    </row>
    <row r="269" spans="1:26" ht="15.75">
      <c r="A269" s="327" t="s">
        <v>263</v>
      </c>
      <c r="B269" s="333"/>
      <c r="C269" s="39"/>
      <c r="D269" s="39"/>
      <c r="E269" s="39"/>
      <c r="F269" s="127">
        <f t="shared" ref="F269:O269" si="17">SUM(F230:F268)</f>
        <v>197409.49999999994</v>
      </c>
      <c r="G269" s="127">
        <f t="shared" si="17"/>
        <v>173776.50000000003</v>
      </c>
      <c r="H269" s="26">
        <f t="shared" si="17"/>
        <v>57697478.580000006</v>
      </c>
      <c r="I269" s="40">
        <f t="shared" si="17"/>
        <v>14567564.989999998</v>
      </c>
      <c r="J269" s="27">
        <f t="shared" si="17"/>
        <v>2544152.91</v>
      </c>
      <c r="K269" s="40">
        <f t="shared" si="17"/>
        <v>22267829.380000003</v>
      </c>
      <c r="L269" s="27">
        <f t="shared" si="17"/>
        <v>0</v>
      </c>
      <c r="M269" s="40">
        <f t="shared" si="17"/>
        <v>15198142.469999999</v>
      </c>
      <c r="N269" s="27">
        <f t="shared" si="17"/>
        <v>0</v>
      </c>
      <c r="O269" s="27">
        <f t="shared" si="17"/>
        <v>3119788.83</v>
      </c>
      <c r="P269" s="27">
        <f>SUM(P230:P268)</f>
        <v>0</v>
      </c>
      <c r="Q269" s="27">
        <f>SUM(Q230:Q268)</f>
        <v>0</v>
      </c>
      <c r="R269" s="27">
        <f>SUM(R230:R268)</f>
        <v>0</v>
      </c>
      <c r="S269" s="93">
        <f>SUM(S230:S268)</f>
        <v>57697478.580000006</v>
      </c>
      <c r="T269" s="22" t="s">
        <v>113</v>
      </c>
      <c r="U269" s="22" t="s">
        <v>113</v>
      </c>
    </row>
    <row r="270" spans="1:26" ht="15.75">
      <c r="A270" s="344" t="s">
        <v>59</v>
      </c>
      <c r="B270" s="345"/>
      <c r="C270" s="345"/>
      <c r="D270" s="343"/>
      <c r="E270" s="339"/>
      <c r="F270" s="345"/>
      <c r="G270" s="345"/>
      <c r="H270" s="345"/>
      <c r="I270" s="345"/>
      <c r="J270" s="345"/>
      <c r="K270" s="345"/>
      <c r="L270" s="345"/>
      <c r="M270" s="345"/>
      <c r="N270" s="345"/>
      <c r="O270" s="345"/>
      <c r="P270" s="345"/>
      <c r="Q270" s="345"/>
      <c r="R270" s="345"/>
      <c r="S270" s="346"/>
      <c r="T270" s="36"/>
      <c r="U270" s="36"/>
    </row>
    <row r="271" spans="1:26" ht="15.75">
      <c r="A271" s="41">
        <f>A268+1</f>
        <v>239</v>
      </c>
      <c r="B271" s="265" t="s">
        <v>260</v>
      </c>
      <c r="C271" s="70">
        <v>1981</v>
      </c>
      <c r="D271" s="70"/>
      <c r="E271" s="70"/>
      <c r="F271" s="64">
        <v>2517.6999999999998</v>
      </c>
      <c r="G271" s="64">
        <v>2032</v>
      </c>
      <c r="H271" s="50">
        <f>I271+J271+K271+L271+M271+N271+O271</f>
        <v>1031483.84</v>
      </c>
      <c r="I271" s="49">
        <f>ROUND((214.38+293.24)*G271,2)-O271</f>
        <v>969594.80999999994</v>
      </c>
      <c r="J271" s="49">
        <v>0</v>
      </c>
      <c r="K271" s="42"/>
      <c r="L271" s="49">
        <v>0</v>
      </c>
      <c r="M271" s="49">
        <v>0</v>
      </c>
      <c r="N271" s="49">
        <v>0</v>
      </c>
      <c r="O271" s="49">
        <v>61889.03</v>
      </c>
      <c r="P271" s="49">
        <v>0</v>
      </c>
      <c r="Q271" s="49">
        <v>0</v>
      </c>
      <c r="R271" s="49">
        <v>0</v>
      </c>
      <c r="S271" s="42">
        <f>H271</f>
        <v>1031483.84</v>
      </c>
      <c r="T271" s="66">
        <v>2017</v>
      </c>
      <c r="U271" s="66">
        <v>2017</v>
      </c>
      <c r="V271" s="55" t="s">
        <v>144</v>
      </c>
      <c r="W271" s="55">
        <v>5</v>
      </c>
    </row>
    <row r="272" spans="1:26" ht="15.75">
      <c r="A272" s="41">
        <f>A271+1</f>
        <v>240</v>
      </c>
      <c r="B272" s="265" t="s">
        <v>261</v>
      </c>
      <c r="C272" s="70">
        <v>1987</v>
      </c>
      <c r="D272" s="70"/>
      <c r="E272" s="70"/>
      <c r="F272" s="64">
        <v>3955.7</v>
      </c>
      <c r="G272" s="64">
        <v>2971.1</v>
      </c>
      <c r="H272" s="50">
        <f>I272+J272+K272+L272+M272+N272+O272</f>
        <v>3186356.2</v>
      </c>
      <c r="I272" s="49">
        <v>0</v>
      </c>
      <c r="J272" s="49">
        <v>0</v>
      </c>
      <c r="K272" s="49">
        <f>ROUND(1072.45*G272,2)-O272</f>
        <v>3090156.7</v>
      </c>
      <c r="L272" s="49">
        <v>0</v>
      </c>
      <c r="M272" s="49">
        <v>0</v>
      </c>
      <c r="N272" s="49">
        <v>0</v>
      </c>
      <c r="O272" s="49">
        <v>96199.5</v>
      </c>
      <c r="P272" s="49">
        <v>0</v>
      </c>
      <c r="Q272" s="49">
        <v>0</v>
      </c>
      <c r="R272" s="49">
        <v>0</v>
      </c>
      <c r="S272" s="42">
        <f>H272</f>
        <v>3186356.2</v>
      </c>
      <c r="T272" s="66">
        <v>2017</v>
      </c>
      <c r="U272" s="66">
        <v>2017</v>
      </c>
      <c r="V272" s="55" t="s">
        <v>144</v>
      </c>
      <c r="W272" s="55">
        <v>5</v>
      </c>
    </row>
    <row r="273" spans="1:25" ht="15.75">
      <c r="A273" s="327" t="s">
        <v>263</v>
      </c>
      <c r="B273" s="333"/>
      <c r="C273" s="39"/>
      <c r="D273" s="39"/>
      <c r="E273" s="39"/>
      <c r="F273" s="93">
        <f>SUM(F271:F272)</f>
        <v>6473.4</v>
      </c>
      <c r="G273" s="93">
        <f>SUM(G271:G272)</f>
        <v>5003.1000000000004</v>
      </c>
      <c r="H273" s="26">
        <f t="shared" ref="H273:S273" si="18">SUM(H271:H272)</f>
        <v>4217840.04</v>
      </c>
      <c r="I273" s="27">
        <f t="shared" si="18"/>
        <v>969594.80999999994</v>
      </c>
      <c r="J273" s="27">
        <f t="shared" si="18"/>
        <v>0</v>
      </c>
      <c r="K273" s="27">
        <f t="shared" si="18"/>
        <v>3090156.7</v>
      </c>
      <c r="L273" s="27">
        <f t="shared" si="18"/>
        <v>0</v>
      </c>
      <c r="M273" s="27">
        <f t="shared" si="18"/>
        <v>0</v>
      </c>
      <c r="N273" s="27">
        <f t="shared" si="18"/>
        <v>0</v>
      </c>
      <c r="O273" s="27">
        <f t="shared" si="18"/>
        <v>158088.53</v>
      </c>
      <c r="P273" s="27">
        <f t="shared" si="18"/>
        <v>0</v>
      </c>
      <c r="Q273" s="27">
        <f t="shared" si="18"/>
        <v>0</v>
      </c>
      <c r="R273" s="27">
        <f t="shared" si="18"/>
        <v>0</v>
      </c>
      <c r="S273" s="93">
        <f t="shared" si="18"/>
        <v>4217840.04</v>
      </c>
      <c r="T273" s="22" t="s">
        <v>113</v>
      </c>
      <c r="U273" s="22" t="s">
        <v>113</v>
      </c>
    </row>
    <row r="274" spans="1:25" ht="15.75">
      <c r="A274" s="344" t="s">
        <v>60</v>
      </c>
      <c r="B274" s="345"/>
      <c r="C274" s="345"/>
      <c r="D274" s="343"/>
      <c r="E274" s="339"/>
      <c r="F274" s="345"/>
      <c r="G274" s="345"/>
      <c r="H274" s="345"/>
      <c r="I274" s="345"/>
      <c r="J274" s="345"/>
      <c r="K274" s="345"/>
      <c r="L274" s="345"/>
      <c r="M274" s="345"/>
      <c r="N274" s="345"/>
      <c r="O274" s="345"/>
      <c r="P274" s="345"/>
      <c r="Q274" s="345"/>
      <c r="R274" s="345"/>
      <c r="S274" s="346"/>
      <c r="T274" s="36"/>
      <c r="U274" s="36"/>
    </row>
    <row r="275" spans="1:25" ht="15.75">
      <c r="A275" s="70">
        <f>A272+1</f>
        <v>241</v>
      </c>
      <c r="B275" s="266" t="s">
        <v>268</v>
      </c>
      <c r="C275" s="70">
        <v>1982</v>
      </c>
      <c r="D275" s="70"/>
      <c r="E275" s="70"/>
      <c r="F275" s="64">
        <v>3979.6</v>
      </c>
      <c r="G275" s="64">
        <v>3351.7</v>
      </c>
      <c r="H275" s="50">
        <f>I275+J275+K275+L275+M275+N275+O275</f>
        <v>3037801.66</v>
      </c>
      <c r="I275" s="49">
        <v>0</v>
      </c>
      <c r="J275" s="49">
        <v>3037801.66</v>
      </c>
      <c r="K275" s="49">
        <v>0</v>
      </c>
      <c r="L275" s="49">
        <v>0</v>
      </c>
      <c r="M275" s="49">
        <v>0</v>
      </c>
      <c r="N275" s="49">
        <v>0</v>
      </c>
      <c r="O275" s="49">
        <v>0</v>
      </c>
      <c r="P275" s="49">
        <v>0</v>
      </c>
      <c r="Q275" s="49">
        <v>0</v>
      </c>
      <c r="R275" s="49">
        <v>0</v>
      </c>
      <c r="S275" s="97">
        <f>H275</f>
        <v>3037801.66</v>
      </c>
      <c r="T275" s="66">
        <v>2017</v>
      </c>
      <c r="U275" s="66">
        <v>2017</v>
      </c>
      <c r="V275" s="115" t="s">
        <v>144</v>
      </c>
      <c r="W275" s="55">
        <v>9</v>
      </c>
    </row>
    <row r="276" spans="1:25" ht="15.75">
      <c r="A276" s="70">
        <f>A275+1</f>
        <v>242</v>
      </c>
      <c r="B276" s="266" t="s">
        <v>490</v>
      </c>
      <c r="C276" s="70">
        <v>1977</v>
      </c>
      <c r="D276" s="70"/>
      <c r="E276" s="70"/>
      <c r="F276" s="64">
        <v>3957.3</v>
      </c>
      <c r="G276" s="64">
        <v>3409.8</v>
      </c>
      <c r="H276" s="50">
        <f>I276+J276+K276+L276+M276+N276+O276</f>
        <v>3656840.01</v>
      </c>
      <c r="I276" s="49">
        <v>0</v>
      </c>
      <c r="J276" s="49">
        <v>0</v>
      </c>
      <c r="K276" s="43">
        <f>ROUND(1072.45*G276,2)-O276</f>
        <v>3555685.69</v>
      </c>
      <c r="L276" s="49">
        <v>0</v>
      </c>
      <c r="M276" s="49">
        <v>0</v>
      </c>
      <c r="N276" s="49">
        <v>0</v>
      </c>
      <c r="O276" s="49">
        <v>101154.32</v>
      </c>
      <c r="P276" s="49">
        <v>0</v>
      </c>
      <c r="Q276" s="49">
        <v>0</v>
      </c>
      <c r="R276" s="49">
        <v>0</v>
      </c>
      <c r="S276" s="97">
        <f>H276</f>
        <v>3656840.01</v>
      </c>
      <c r="T276" s="66">
        <v>2017</v>
      </c>
      <c r="U276" s="66">
        <v>2017</v>
      </c>
      <c r="V276" s="267" t="s">
        <v>144</v>
      </c>
      <c r="W276" s="55">
        <v>5</v>
      </c>
    </row>
    <row r="277" spans="1:25" ht="15.75">
      <c r="A277" s="327" t="s">
        <v>263</v>
      </c>
      <c r="B277" s="333"/>
      <c r="C277" s="39"/>
      <c r="D277" s="39"/>
      <c r="E277" s="39"/>
      <c r="F277" s="93">
        <f t="shared" ref="F277:O277" si="19">SUM(F275:F276)</f>
        <v>7936.9</v>
      </c>
      <c r="G277" s="93">
        <f t="shared" si="19"/>
        <v>6761.5</v>
      </c>
      <c r="H277" s="26">
        <f t="shared" si="19"/>
        <v>6694641.6699999999</v>
      </c>
      <c r="I277" s="27">
        <f t="shared" si="19"/>
        <v>0</v>
      </c>
      <c r="J277" s="27">
        <f t="shared" si="19"/>
        <v>3037801.66</v>
      </c>
      <c r="K277" s="27">
        <f t="shared" si="19"/>
        <v>3555685.69</v>
      </c>
      <c r="L277" s="27">
        <f t="shared" si="19"/>
        <v>0</v>
      </c>
      <c r="M277" s="27">
        <f t="shared" si="19"/>
        <v>0</v>
      </c>
      <c r="N277" s="27">
        <f t="shared" si="19"/>
        <v>0</v>
      </c>
      <c r="O277" s="27">
        <f t="shared" si="19"/>
        <v>101154.32</v>
      </c>
      <c r="P277" s="27">
        <f>SUM(P275:P276)</f>
        <v>0</v>
      </c>
      <c r="Q277" s="27">
        <f>SUM(Q275:Q276)</f>
        <v>0</v>
      </c>
      <c r="R277" s="27">
        <f>SUM(R275:R276)</f>
        <v>0</v>
      </c>
      <c r="S277" s="93">
        <f>SUM(S275:S276)</f>
        <v>6694641.6699999999</v>
      </c>
      <c r="T277" s="22" t="s">
        <v>113</v>
      </c>
      <c r="U277" s="22" t="s">
        <v>113</v>
      </c>
    </row>
    <row r="278" spans="1:25" ht="15.75">
      <c r="A278" s="344" t="s">
        <v>64</v>
      </c>
      <c r="B278" s="345"/>
      <c r="C278" s="345"/>
      <c r="D278" s="343"/>
      <c r="E278" s="339"/>
      <c r="F278" s="345"/>
      <c r="G278" s="345"/>
      <c r="H278" s="345"/>
      <c r="I278" s="345"/>
      <c r="J278" s="345"/>
      <c r="K278" s="345"/>
      <c r="L278" s="345"/>
      <c r="M278" s="345"/>
      <c r="N278" s="345"/>
      <c r="O278" s="345"/>
      <c r="P278" s="345"/>
      <c r="Q278" s="345"/>
      <c r="R278" s="345"/>
      <c r="S278" s="346"/>
      <c r="T278" s="36"/>
      <c r="U278" s="36"/>
    </row>
    <row r="279" spans="1:25" ht="15.75">
      <c r="A279" s="70">
        <f>A276+1</f>
        <v>243</v>
      </c>
      <c r="B279" s="67" t="s">
        <v>491</v>
      </c>
      <c r="C279" s="70">
        <v>1976</v>
      </c>
      <c r="D279" s="70"/>
      <c r="E279" s="70"/>
      <c r="F279" s="64">
        <v>3624.6</v>
      </c>
      <c r="G279" s="64">
        <v>3238.3</v>
      </c>
      <c r="H279" s="50">
        <f>I279+J279+K279+L279+M279+N279+O279</f>
        <v>3707076.31</v>
      </c>
      <c r="I279" s="49">
        <v>0</v>
      </c>
      <c r="J279" s="49">
        <v>0</v>
      </c>
      <c r="K279" s="49">
        <v>0</v>
      </c>
      <c r="L279" s="49">
        <v>0</v>
      </c>
      <c r="M279" s="44">
        <f>ROUND(1144.76*G279,2)-O279</f>
        <v>3569252.31</v>
      </c>
      <c r="N279" s="49">
        <v>0</v>
      </c>
      <c r="O279" s="49">
        <v>137824</v>
      </c>
      <c r="P279" s="49">
        <v>0</v>
      </c>
      <c r="Q279" s="49">
        <v>0</v>
      </c>
      <c r="R279" s="49">
        <v>0</v>
      </c>
      <c r="S279" s="268">
        <f>H279-R279</f>
        <v>3707076.31</v>
      </c>
      <c r="T279" s="66">
        <v>2017</v>
      </c>
      <c r="U279" s="66">
        <v>2017</v>
      </c>
      <c r="V279" s="148" t="s">
        <v>145</v>
      </c>
      <c r="W279" s="147">
        <v>5</v>
      </c>
      <c r="X279" s="269">
        <f>R279/H279*100</f>
        <v>0</v>
      </c>
    </row>
    <row r="280" spans="1:25" ht="15.75">
      <c r="A280" s="327" t="s">
        <v>263</v>
      </c>
      <c r="B280" s="333"/>
      <c r="C280" s="39"/>
      <c r="D280" s="39"/>
      <c r="E280" s="39"/>
      <c r="F280" s="93">
        <f t="shared" ref="F280:O280" si="20">SUM(F279:F279)</f>
        <v>3624.6</v>
      </c>
      <c r="G280" s="93">
        <f t="shared" si="20"/>
        <v>3238.3</v>
      </c>
      <c r="H280" s="26">
        <f t="shared" si="20"/>
        <v>3707076.31</v>
      </c>
      <c r="I280" s="27">
        <f t="shared" si="20"/>
        <v>0</v>
      </c>
      <c r="J280" s="27">
        <f t="shared" si="20"/>
        <v>0</v>
      </c>
      <c r="K280" s="27">
        <f t="shared" si="20"/>
        <v>0</v>
      </c>
      <c r="L280" s="27">
        <f t="shared" si="20"/>
        <v>0</v>
      </c>
      <c r="M280" s="27">
        <f t="shared" si="20"/>
        <v>3569252.31</v>
      </c>
      <c r="N280" s="27">
        <f t="shared" si="20"/>
        <v>0</v>
      </c>
      <c r="O280" s="27">
        <f t="shared" si="20"/>
        <v>137824</v>
      </c>
      <c r="P280" s="27">
        <f>SUM(P279:P279)</f>
        <v>0</v>
      </c>
      <c r="Q280" s="27">
        <f>SUM(Q279:Q279)</f>
        <v>0</v>
      </c>
      <c r="R280" s="27">
        <f>SUM(R279:R279)</f>
        <v>0</v>
      </c>
      <c r="S280" s="93">
        <f>SUM(S279:S279)</f>
        <v>3707076.31</v>
      </c>
      <c r="T280" s="22" t="s">
        <v>113</v>
      </c>
      <c r="U280" s="22" t="s">
        <v>113</v>
      </c>
      <c r="Y280" s="270">
        <v>3477025.44</v>
      </c>
    </row>
    <row r="281" spans="1:25" ht="15.75">
      <c r="A281" s="347" t="s">
        <v>32</v>
      </c>
      <c r="B281" s="348"/>
      <c r="C281" s="348"/>
      <c r="D281" s="348"/>
      <c r="E281" s="348"/>
      <c r="F281" s="348"/>
      <c r="G281" s="348"/>
      <c r="H281" s="348"/>
      <c r="I281" s="348"/>
      <c r="J281" s="348"/>
      <c r="K281" s="348"/>
      <c r="L281" s="348"/>
      <c r="M281" s="348"/>
      <c r="N281" s="348"/>
      <c r="O281" s="348"/>
      <c r="P281" s="348"/>
      <c r="Q281" s="348"/>
      <c r="R281" s="348"/>
      <c r="S281" s="349"/>
      <c r="T281" s="36"/>
      <c r="U281" s="36"/>
    </row>
    <row r="282" spans="1:25" s="24" customFormat="1" ht="15.75">
      <c r="A282" s="66">
        <f>A279+1</f>
        <v>244</v>
      </c>
      <c r="B282" s="67" t="s">
        <v>395</v>
      </c>
      <c r="C282" s="66">
        <v>1984</v>
      </c>
      <c r="D282" s="66"/>
      <c r="E282" s="66"/>
      <c r="F282" s="391">
        <v>3897.3</v>
      </c>
      <c r="G282" s="138">
        <v>3367.6</v>
      </c>
      <c r="H282" s="50">
        <f>I282+J282+K282+L282+M282+N282+O282</f>
        <v>958884.76</v>
      </c>
      <c r="I282" s="49">
        <f>ROUND(304.67*$G282/107*100,2)-O282</f>
        <v>901351.67</v>
      </c>
      <c r="J282" s="49">
        <v>0</v>
      </c>
      <c r="K282" s="49">
        <v>0</v>
      </c>
      <c r="L282" s="49">
        <v>0</v>
      </c>
      <c r="M282" s="49">
        <v>0</v>
      </c>
      <c r="N282" s="49">
        <v>0</v>
      </c>
      <c r="O282" s="49">
        <v>57533.09</v>
      </c>
      <c r="P282" s="49">
        <v>0</v>
      </c>
      <c r="Q282" s="49">
        <v>0</v>
      </c>
      <c r="R282" s="49">
        <v>0</v>
      </c>
      <c r="S282" s="97">
        <f>H282</f>
        <v>958884.76</v>
      </c>
      <c r="T282" s="66">
        <v>2017</v>
      </c>
      <c r="U282" s="66">
        <v>2017</v>
      </c>
      <c r="V282" s="67" t="s">
        <v>411</v>
      </c>
      <c r="W282" s="66">
        <v>9</v>
      </c>
    </row>
    <row r="283" spans="1:25" s="24" customFormat="1" ht="15.75">
      <c r="A283" s="66">
        <f>A282+1</f>
        <v>245</v>
      </c>
      <c r="B283" s="67" t="s">
        <v>393</v>
      </c>
      <c r="C283" s="66">
        <v>1980</v>
      </c>
      <c r="D283" s="66"/>
      <c r="E283" s="66"/>
      <c r="F283" s="33">
        <v>5967.7</v>
      </c>
      <c r="G283" s="136">
        <v>5119.7</v>
      </c>
      <c r="H283" s="50">
        <f>I283+J283+K283+L283+M283+N283+O283</f>
        <v>9113404.9800000004</v>
      </c>
      <c r="I283" s="49">
        <v>0</v>
      </c>
      <c r="J283" s="49">
        <f>ROUND(3*3037801.66,2)</f>
        <v>9113404.9800000004</v>
      </c>
      <c r="K283" s="49">
        <v>0</v>
      </c>
      <c r="L283" s="49">
        <v>0</v>
      </c>
      <c r="M283" s="49">
        <v>0</v>
      </c>
      <c r="N283" s="49">
        <v>0</v>
      </c>
      <c r="O283" s="49">
        <v>0</v>
      </c>
      <c r="P283" s="49">
        <v>0</v>
      </c>
      <c r="Q283" s="49">
        <v>0</v>
      </c>
      <c r="R283" s="49">
        <v>0</v>
      </c>
      <c r="S283" s="97">
        <f>H283</f>
        <v>9113404.9800000004</v>
      </c>
      <c r="T283" s="66">
        <v>2017</v>
      </c>
      <c r="U283" s="66">
        <v>2017</v>
      </c>
      <c r="V283" s="51" t="s">
        <v>411</v>
      </c>
      <c r="W283" s="66">
        <v>9</v>
      </c>
    </row>
    <row r="284" spans="1:25" s="24" customFormat="1" ht="15.75">
      <c r="A284" s="66">
        <f t="shared" ref="A284:A312" si="21">A283+1</f>
        <v>246</v>
      </c>
      <c r="B284" s="67" t="s">
        <v>396</v>
      </c>
      <c r="C284" s="66">
        <v>1985</v>
      </c>
      <c r="D284" s="66"/>
      <c r="E284" s="66"/>
      <c r="F284" s="129">
        <v>4069.4</v>
      </c>
      <c r="G284" s="136">
        <v>3670.6</v>
      </c>
      <c r="H284" s="50">
        <f>I284+J284+K284+L284+M284+N284+O284</f>
        <v>1045160.47</v>
      </c>
      <c r="I284" s="49">
        <f>ROUND(304.67*$G284/107*100,2)-O284</f>
        <v>982450.84</v>
      </c>
      <c r="J284" s="49">
        <v>0</v>
      </c>
      <c r="K284" s="49">
        <v>0</v>
      </c>
      <c r="L284" s="49">
        <v>0</v>
      </c>
      <c r="M284" s="49">
        <v>0</v>
      </c>
      <c r="N284" s="49">
        <v>0</v>
      </c>
      <c r="O284" s="49">
        <v>62709.63</v>
      </c>
      <c r="P284" s="49">
        <v>0</v>
      </c>
      <c r="Q284" s="49">
        <v>0</v>
      </c>
      <c r="R284" s="49">
        <v>0</v>
      </c>
      <c r="S284" s="97">
        <f>H284</f>
        <v>1045160.47</v>
      </c>
      <c r="T284" s="66">
        <v>2017</v>
      </c>
      <c r="U284" s="66">
        <v>2017</v>
      </c>
      <c r="V284" s="67" t="s">
        <v>411</v>
      </c>
      <c r="W284" s="66">
        <v>9</v>
      </c>
    </row>
    <row r="285" spans="1:25" s="24" customFormat="1" ht="15.75">
      <c r="A285" s="66">
        <f t="shared" si="21"/>
        <v>247</v>
      </c>
      <c r="B285" s="67" t="s">
        <v>394</v>
      </c>
      <c r="C285" s="66">
        <v>1980</v>
      </c>
      <c r="D285" s="66"/>
      <c r="E285" s="66"/>
      <c r="F285" s="33">
        <v>5993.4</v>
      </c>
      <c r="G285" s="136">
        <v>5136.1000000000004</v>
      </c>
      <c r="H285" s="50">
        <f>I285+J285+K285+L285+M285+N285+O285</f>
        <v>9113404.9800000004</v>
      </c>
      <c r="I285" s="49">
        <v>0</v>
      </c>
      <c r="J285" s="49">
        <f>ROUND(3*3037801.66,2)</f>
        <v>9113404.9800000004</v>
      </c>
      <c r="K285" s="49">
        <v>0</v>
      </c>
      <c r="L285" s="49">
        <v>0</v>
      </c>
      <c r="M285" s="49">
        <v>0</v>
      </c>
      <c r="N285" s="49">
        <v>0</v>
      </c>
      <c r="O285" s="49">
        <v>0</v>
      </c>
      <c r="P285" s="49">
        <v>0</v>
      </c>
      <c r="Q285" s="49">
        <v>0</v>
      </c>
      <c r="R285" s="49">
        <v>0</v>
      </c>
      <c r="S285" s="97">
        <f>H285</f>
        <v>9113404.9800000004</v>
      </c>
      <c r="T285" s="66">
        <v>2017</v>
      </c>
      <c r="U285" s="66">
        <v>2017</v>
      </c>
      <c r="V285" s="51" t="s">
        <v>411</v>
      </c>
      <c r="W285" s="66">
        <v>9</v>
      </c>
    </row>
    <row r="286" spans="1:25" s="24" customFormat="1" ht="15.75" customHeight="1">
      <c r="A286" s="66">
        <f t="shared" si="21"/>
        <v>248</v>
      </c>
      <c r="B286" s="67" t="s">
        <v>402</v>
      </c>
      <c r="C286" s="66">
        <v>1989</v>
      </c>
      <c r="D286" s="66"/>
      <c r="E286" s="66"/>
      <c r="F286" s="129">
        <v>9161.5</v>
      </c>
      <c r="G286" s="136">
        <v>7895.5</v>
      </c>
      <c r="H286" s="50">
        <f>I286+J286+K286+L286+M286+N286+O286</f>
        <v>2248151.39</v>
      </c>
      <c r="I286" s="49">
        <f>ROUND(304.67*$G286/107*100,2)-O286</f>
        <v>2113262.31</v>
      </c>
      <c r="J286" s="49">
        <v>0</v>
      </c>
      <c r="K286" s="49">
        <v>0</v>
      </c>
      <c r="L286" s="49">
        <v>0</v>
      </c>
      <c r="M286" s="49">
        <v>0</v>
      </c>
      <c r="N286" s="49">
        <v>0</v>
      </c>
      <c r="O286" s="49">
        <v>134889.07999999999</v>
      </c>
      <c r="P286" s="49">
        <v>0</v>
      </c>
      <c r="Q286" s="49">
        <v>0</v>
      </c>
      <c r="R286" s="49">
        <v>0</v>
      </c>
      <c r="S286" s="97">
        <f>H286</f>
        <v>2248151.39</v>
      </c>
      <c r="T286" s="66">
        <v>2017</v>
      </c>
      <c r="U286" s="66">
        <v>2017</v>
      </c>
      <c r="V286" s="67" t="s">
        <v>411</v>
      </c>
      <c r="W286" s="66">
        <v>9</v>
      </c>
    </row>
    <row r="287" spans="1:25" s="24" customFormat="1" ht="15.75" customHeight="1">
      <c r="A287" s="66">
        <f t="shared" si="21"/>
        <v>249</v>
      </c>
      <c r="B287" s="67" t="s">
        <v>403</v>
      </c>
      <c r="C287" s="66">
        <v>1983</v>
      </c>
      <c r="D287" s="66"/>
      <c r="E287" s="66"/>
      <c r="F287" s="129">
        <v>3876.5</v>
      </c>
      <c r="G287" s="136">
        <v>3321</v>
      </c>
      <c r="H287" s="50">
        <f>I287+J287+K287+L287+M287+N287+O287</f>
        <v>945615.95</v>
      </c>
      <c r="I287" s="49">
        <f>ROUND(304.67*$G287/107*100,2)-O287</f>
        <v>888878.99</v>
      </c>
      <c r="J287" s="49">
        <v>0</v>
      </c>
      <c r="K287" s="49">
        <v>0</v>
      </c>
      <c r="L287" s="49">
        <v>0</v>
      </c>
      <c r="M287" s="49">
        <v>0</v>
      </c>
      <c r="N287" s="49">
        <v>0</v>
      </c>
      <c r="O287" s="49">
        <v>56736.959999999999</v>
      </c>
      <c r="P287" s="49">
        <v>0</v>
      </c>
      <c r="Q287" s="49">
        <v>0</v>
      </c>
      <c r="R287" s="49">
        <v>0</v>
      </c>
      <c r="S287" s="97">
        <f>H287</f>
        <v>945615.95</v>
      </c>
      <c r="T287" s="66">
        <v>2017</v>
      </c>
      <c r="U287" s="66">
        <v>2017</v>
      </c>
      <c r="V287" s="67" t="s">
        <v>411</v>
      </c>
      <c r="W287" s="66">
        <v>9</v>
      </c>
    </row>
    <row r="288" spans="1:25" s="24" customFormat="1" ht="15.75" customHeight="1">
      <c r="A288" s="66">
        <f t="shared" si="21"/>
        <v>250</v>
      </c>
      <c r="B288" s="67" t="s">
        <v>422</v>
      </c>
      <c r="C288" s="66">
        <v>1984</v>
      </c>
      <c r="D288" s="66"/>
      <c r="E288" s="66"/>
      <c r="F288" s="296">
        <v>4357.2</v>
      </c>
      <c r="G288" s="395">
        <v>3953.2</v>
      </c>
      <c r="H288" s="50">
        <f>I288+J288+K288+L288+M288+N288+O288</f>
        <v>4525465.2300000004</v>
      </c>
      <c r="I288" s="49">
        <v>0</v>
      </c>
      <c r="J288" s="50">
        <v>0</v>
      </c>
      <c r="K288" s="49">
        <v>0</v>
      </c>
      <c r="L288" s="49">
        <v>0</v>
      </c>
      <c r="M288" s="49">
        <f>ROUND(1144.76*G288,2)-O288</f>
        <v>4380088.0500000007</v>
      </c>
      <c r="N288" s="49">
        <v>0</v>
      </c>
      <c r="O288" s="49">
        <v>145377.18</v>
      </c>
      <c r="P288" s="49">
        <v>0</v>
      </c>
      <c r="Q288" s="49">
        <v>0</v>
      </c>
      <c r="R288" s="49">
        <v>0</v>
      </c>
      <c r="S288" s="97">
        <f>H288</f>
        <v>4525465.2300000004</v>
      </c>
      <c r="T288" s="66">
        <v>2017</v>
      </c>
      <c r="U288" s="66">
        <v>2017</v>
      </c>
      <c r="V288" s="67" t="s">
        <v>412</v>
      </c>
      <c r="W288" s="66">
        <v>5</v>
      </c>
    </row>
    <row r="289" spans="1:23" s="24" customFormat="1" ht="15.75" customHeight="1">
      <c r="A289" s="66">
        <f t="shared" si="21"/>
        <v>251</v>
      </c>
      <c r="B289" s="67" t="s">
        <v>401</v>
      </c>
      <c r="C289" s="66">
        <v>1986</v>
      </c>
      <c r="D289" s="66"/>
      <c r="E289" s="66"/>
      <c r="F289" s="129">
        <v>3957</v>
      </c>
      <c r="G289" s="136">
        <v>3534.5</v>
      </c>
      <c r="H289" s="50">
        <f>I289+J289+K289+L289+M289+N289+O289</f>
        <v>1676806.44</v>
      </c>
      <c r="I289" s="49">
        <f>ROUND((214.38+293.24)/107*100*$G289,2)-O289</f>
        <v>1576198.05</v>
      </c>
      <c r="J289" s="49">
        <v>0</v>
      </c>
      <c r="K289" s="49">
        <v>0</v>
      </c>
      <c r="L289" s="49">
        <v>0</v>
      </c>
      <c r="M289" s="49">
        <v>0</v>
      </c>
      <c r="N289" s="49">
        <v>0</v>
      </c>
      <c r="O289" s="49">
        <v>100608.39</v>
      </c>
      <c r="P289" s="49">
        <v>0</v>
      </c>
      <c r="Q289" s="49">
        <v>0</v>
      </c>
      <c r="R289" s="49">
        <v>0</v>
      </c>
      <c r="S289" s="97">
        <f>H289</f>
        <v>1676806.44</v>
      </c>
      <c r="T289" s="66">
        <v>2017</v>
      </c>
      <c r="U289" s="66">
        <v>2017</v>
      </c>
      <c r="V289" s="67" t="s">
        <v>411</v>
      </c>
      <c r="W289" s="66">
        <v>5</v>
      </c>
    </row>
    <row r="290" spans="1:23" s="24" customFormat="1" ht="15.75" customHeight="1">
      <c r="A290" s="66">
        <f t="shared" si="21"/>
        <v>252</v>
      </c>
      <c r="B290" s="67" t="s">
        <v>400</v>
      </c>
      <c r="C290" s="66">
        <v>1975</v>
      </c>
      <c r="D290" s="66"/>
      <c r="E290" s="66"/>
      <c r="F290" s="129">
        <v>3617.1</v>
      </c>
      <c r="G290" s="136">
        <v>3226.3</v>
      </c>
      <c r="H290" s="50">
        <f>I290+J290+K290+L290+M290+N290+O290</f>
        <v>884187.11</v>
      </c>
      <c r="I290" s="49">
        <f>ROUND(293.24*$G290/107*100,2)-O290</f>
        <v>831135.88</v>
      </c>
      <c r="J290" s="49">
        <v>0</v>
      </c>
      <c r="K290" s="49">
        <v>0</v>
      </c>
      <c r="L290" s="49">
        <v>0</v>
      </c>
      <c r="M290" s="49">
        <v>0</v>
      </c>
      <c r="N290" s="49">
        <v>0</v>
      </c>
      <c r="O290" s="49">
        <v>53051.23</v>
      </c>
      <c r="P290" s="49">
        <v>0</v>
      </c>
      <c r="Q290" s="49">
        <v>0</v>
      </c>
      <c r="R290" s="49">
        <v>0</v>
      </c>
      <c r="S290" s="97">
        <f>H290</f>
        <v>884187.11</v>
      </c>
      <c r="T290" s="66">
        <v>2017</v>
      </c>
      <c r="U290" s="66">
        <v>2017</v>
      </c>
      <c r="V290" s="67" t="s">
        <v>411</v>
      </c>
      <c r="W290" s="66">
        <v>5</v>
      </c>
    </row>
    <row r="291" spans="1:23" s="24" customFormat="1" ht="15.75" customHeight="1">
      <c r="A291" s="66">
        <f t="shared" si="21"/>
        <v>253</v>
      </c>
      <c r="B291" s="67" t="s">
        <v>398</v>
      </c>
      <c r="C291" s="66">
        <v>1974</v>
      </c>
      <c r="D291" s="271"/>
      <c r="E291" s="271"/>
      <c r="F291" s="272">
        <v>7920.3</v>
      </c>
      <c r="G291" s="136">
        <v>7266.6</v>
      </c>
      <c r="H291" s="50">
        <f>I291+J291+K291+L291+M291+N291+O291</f>
        <v>1971829.26</v>
      </c>
      <c r="I291" s="49">
        <f>ROUND(290.35*$G291/107*100,2)-O291</f>
        <v>1853519.5</v>
      </c>
      <c r="J291" s="49">
        <v>0</v>
      </c>
      <c r="K291" s="49">
        <v>0</v>
      </c>
      <c r="L291" s="49">
        <v>0</v>
      </c>
      <c r="M291" s="49">
        <v>0</v>
      </c>
      <c r="N291" s="49">
        <v>0</v>
      </c>
      <c r="O291" s="49">
        <v>118309.75999999999</v>
      </c>
      <c r="P291" s="49">
        <v>0</v>
      </c>
      <c r="Q291" s="49">
        <v>0</v>
      </c>
      <c r="R291" s="49">
        <v>0</v>
      </c>
      <c r="S291" s="97">
        <f>H291</f>
        <v>1971829.26</v>
      </c>
      <c r="T291" s="66">
        <v>2017</v>
      </c>
      <c r="U291" s="66">
        <v>2017</v>
      </c>
      <c r="V291" s="273" t="s">
        <v>412</v>
      </c>
      <c r="W291" s="271">
        <v>5</v>
      </c>
    </row>
    <row r="292" spans="1:23" s="24" customFormat="1" ht="15.75" customHeight="1">
      <c r="A292" s="66">
        <f t="shared" si="21"/>
        <v>254</v>
      </c>
      <c r="B292" s="67" t="s">
        <v>399</v>
      </c>
      <c r="C292" s="66">
        <v>1972</v>
      </c>
      <c r="D292" s="66"/>
      <c r="E292" s="66"/>
      <c r="F292" s="129">
        <v>4927.2</v>
      </c>
      <c r="G292" s="136">
        <v>4698.5</v>
      </c>
      <c r="H292" s="50">
        <f>I292+J292+K292+L292+M292+N292+O292</f>
        <v>6653616.9900000002</v>
      </c>
      <c r="I292" s="49">
        <f>ROUND(290.35*$G292/107*100,2)-65335.2</f>
        <v>1209626.93</v>
      </c>
      <c r="J292" s="49">
        <v>0</v>
      </c>
      <c r="K292" s="49">
        <v>0</v>
      </c>
      <c r="L292" s="49">
        <v>0</v>
      </c>
      <c r="M292" s="49">
        <f>ROUND(1144.76*G292,2)-275628.16</f>
        <v>5103026.7</v>
      </c>
      <c r="N292" s="49">
        <v>0</v>
      </c>
      <c r="O292" s="49">
        <v>340963.36</v>
      </c>
      <c r="P292" s="49">
        <v>0</v>
      </c>
      <c r="Q292" s="49">
        <v>0</v>
      </c>
      <c r="R292" s="49">
        <v>0</v>
      </c>
      <c r="S292" s="97">
        <f>H292</f>
        <v>6653616.9900000002</v>
      </c>
      <c r="T292" s="66">
        <v>2017</v>
      </c>
      <c r="U292" s="66">
        <v>2017</v>
      </c>
      <c r="V292" s="67" t="s">
        <v>412</v>
      </c>
      <c r="W292" s="66">
        <v>5</v>
      </c>
    </row>
    <row r="293" spans="1:23" s="24" customFormat="1" ht="15.75" customHeight="1">
      <c r="A293" s="66">
        <f t="shared" si="21"/>
        <v>255</v>
      </c>
      <c r="B293" s="67" t="s">
        <v>410</v>
      </c>
      <c r="C293" s="66">
        <v>1970</v>
      </c>
      <c r="D293" s="66"/>
      <c r="E293" s="66"/>
      <c r="F293" s="129">
        <v>4203.8999999999996</v>
      </c>
      <c r="G293" s="136">
        <v>3951.2</v>
      </c>
      <c r="H293" s="50">
        <f>I293+J293+K293+L293+M293+N293+O293</f>
        <v>4523175.71</v>
      </c>
      <c r="I293" s="49">
        <v>0</v>
      </c>
      <c r="J293" s="49">
        <v>0</v>
      </c>
      <c r="K293" s="49">
        <v>0</v>
      </c>
      <c r="L293" s="49">
        <v>0</v>
      </c>
      <c r="M293" s="49">
        <f>ROUND(1144.76*G293,2)-O293</f>
        <v>4372808.3099999996</v>
      </c>
      <c r="N293" s="49">
        <v>0</v>
      </c>
      <c r="O293" s="49">
        <v>150367.4</v>
      </c>
      <c r="P293" s="49">
        <v>0</v>
      </c>
      <c r="Q293" s="49">
        <v>0</v>
      </c>
      <c r="R293" s="49">
        <v>0</v>
      </c>
      <c r="S293" s="97">
        <f>H293</f>
        <v>4523175.71</v>
      </c>
      <c r="T293" s="66">
        <v>2017</v>
      </c>
      <c r="U293" s="66">
        <v>2017</v>
      </c>
      <c r="V293" s="67" t="s">
        <v>412</v>
      </c>
      <c r="W293" s="66">
        <v>5</v>
      </c>
    </row>
    <row r="294" spans="1:23" s="24" customFormat="1" ht="15.75" customHeight="1">
      <c r="A294" s="66">
        <f t="shared" si="21"/>
        <v>256</v>
      </c>
      <c r="B294" s="67" t="s">
        <v>408</v>
      </c>
      <c r="C294" s="66">
        <v>1977</v>
      </c>
      <c r="D294" s="66"/>
      <c r="E294" s="66"/>
      <c r="F294" s="129">
        <v>1545.2</v>
      </c>
      <c r="G294" s="136">
        <v>1321.6</v>
      </c>
      <c r="H294" s="50">
        <f>I294+J294+K294+L294+M294+N294+O294</f>
        <v>960882.5</v>
      </c>
      <c r="I294" s="396">
        <f>ROUND(727.06*$G294,2)-O294</f>
        <v>903229.55</v>
      </c>
      <c r="J294" s="49">
        <v>0</v>
      </c>
      <c r="K294" s="49">
        <v>0</v>
      </c>
      <c r="L294" s="49">
        <v>0</v>
      </c>
      <c r="M294" s="49">
        <v>0</v>
      </c>
      <c r="N294" s="49">
        <v>0</v>
      </c>
      <c r="O294" s="49">
        <v>57652.95</v>
      </c>
      <c r="P294" s="49">
        <v>0</v>
      </c>
      <c r="Q294" s="49">
        <v>0</v>
      </c>
      <c r="R294" s="49">
        <v>0</v>
      </c>
      <c r="S294" s="97">
        <f>H294</f>
        <v>960882.5</v>
      </c>
      <c r="T294" s="66">
        <v>2017</v>
      </c>
      <c r="U294" s="66">
        <v>2017</v>
      </c>
      <c r="V294" s="67" t="s">
        <v>412</v>
      </c>
      <c r="W294" s="66">
        <v>3</v>
      </c>
    </row>
    <row r="295" spans="1:23" s="24" customFormat="1" ht="15.75" customHeight="1">
      <c r="A295" s="66">
        <f t="shared" si="21"/>
        <v>257</v>
      </c>
      <c r="B295" s="67" t="s">
        <v>513</v>
      </c>
      <c r="C295" s="66" t="s">
        <v>56</v>
      </c>
      <c r="D295" s="66"/>
      <c r="E295" s="66"/>
      <c r="F295" s="260">
        <v>1868.6</v>
      </c>
      <c r="G295" s="395">
        <v>1679.4</v>
      </c>
      <c r="H295" s="50">
        <f>I295+J295+K295+L295+M295+N295+O295</f>
        <v>3466483.64</v>
      </c>
      <c r="I295" s="19">
        <f>ROUND(G295*(256.88+332.83+191.67+381.86+292.97+727.06),2)-200100</f>
        <v>3466483.64</v>
      </c>
      <c r="J295" s="50">
        <v>0</v>
      </c>
      <c r="K295" s="19">
        <v>0</v>
      </c>
      <c r="L295" s="19">
        <v>0</v>
      </c>
      <c r="M295" s="19">
        <v>0</v>
      </c>
      <c r="N295" s="19">
        <v>0</v>
      </c>
      <c r="O295" s="49">
        <v>0</v>
      </c>
      <c r="P295" s="49">
        <v>0</v>
      </c>
      <c r="Q295" s="49">
        <v>0</v>
      </c>
      <c r="R295" s="49">
        <v>0</v>
      </c>
      <c r="S295" s="401">
        <f>H295</f>
        <v>3466483.64</v>
      </c>
      <c r="T295" s="66">
        <v>2016</v>
      </c>
      <c r="U295" s="66">
        <v>2017</v>
      </c>
      <c r="V295" s="67" t="s">
        <v>145</v>
      </c>
      <c r="W295" s="67" t="s">
        <v>495</v>
      </c>
    </row>
    <row r="296" spans="1:23" s="24" customFormat="1" ht="15.75" customHeight="1">
      <c r="A296" s="66">
        <f t="shared" si="21"/>
        <v>258</v>
      </c>
      <c r="B296" s="67" t="s">
        <v>502</v>
      </c>
      <c r="C296" s="66" t="s">
        <v>56</v>
      </c>
      <c r="D296" s="66"/>
      <c r="E296" s="66"/>
      <c r="F296" s="260">
        <v>1805.9</v>
      </c>
      <c r="G296" s="395">
        <v>1618.6</v>
      </c>
      <c r="H296" s="50">
        <f>I296+J296+K296+L296+M296+N296+O296</f>
        <v>2953847.88</v>
      </c>
      <c r="I296" s="49">
        <v>0</v>
      </c>
      <c r="J296" s="50">
        <v>0</v>
      </c>
      <c r="K296" s="388">
        <f>ROUND(1824.94*G296,2)-O296</f>
        <v>2883508.08</v>
      </c>
      <c r="L296" s="49">
        <v>0</v>
      </c>
      <c r="M296" s="49">
        <v>0</v>
      </c>
      <c r="N296" s="49">
        <v>0</v>
      </c>
      <c r="O296" s="49">
        <v>70339.8</v>
      </c>
      <c r="P296" s="49">
        <v>0</v>
      </c>
      <c r="Q296" s="49">
        <v>0</v>
      </c>
      <c r="R296" s="49">
        <v>0</v>
      </c>
      <c r="S296" s="97">
        <f>H296</f>
        <v>2953847.88</v>
      </c>
      <c r="T296" s="66">
        <v>2017</v>
      </c>
      <c r="U296" s="66">
        <v>2017</v>
      </c>
      <c r="V296" s="67" t="s">
        <v>145</v>
      </c>
      <c r="W296" s="67" t="s">
        <v>495</v>
      </c>
    </row>
    <row r="297" spans="1:23" s="24" customFormat="1" ht="15.75" customHeight="1">
      <c r="A297" s="66">
        <f t="shared" si="21"/>
        <v>259</v>
      </c>
      <c r="B297" s="67" t="s">
        <v>511</v>
      </c>
      <c r="C297" s="66" t="s">
        <v>57</v>
      </c>
      <c r="D297" s="66"/>
      <c r="E297" s="66"/>
      <c r="F297" s="260">
        <v>1763.3</v>
      </c>
      <c r="G297" s="395">
        <v>1579.6</v>
      </c>
      <c r="H297" s="50">
        <f>I297+J297+K297+L297+M297+N297+O297</f>
        <v>3238693.29</v>
      </c>
      <c r="I297" s="19">
        <f>ROUND(G297*(256.88+332.83+191.67+381.86+292.97+727.06),2)-210000</f>
        <v>3238693.29</v>
      </c>
      <c r="J297" s="50">
        <v>0</v>
      </c>
      <c r="K297" s="19">
        <v>0</v>
      </c>
      <c r="L297" s="19">
        <v>0</v>
      </c>
      <c r="M297" s="19">
        <v>0</v>
      </c>
      <c r="N297" s="19">
        <v>0</v>
      </c>
      <c r="O297" s="19">
        <v>0</v>
      </c>
      <c r="P297" s="49">
        <v>0</v>
      </c>
      <c r="Q297" s="49">
        <v>0</v>
      </c>
      <c r="R297" s="49">
        <v>0</v>
      </c>
      <c r="S297" s="401">
        <f>H297</f>
        <v>3238693.29</v>
      </c>
      <c r="T297" s="66">
        <v>2016</v>
      </c>
      <c r="U297" s="66">
        <v>2017</v>
      </c>
      <c r="V297" s="67" t="s">
        <v>145</v>
      </c>
      <c r="W297" s="67" t="s">
        <v>337</v>
      </c>
    </row>
    <row r="298" spans="1:23" s="24" customFormat="1" ht="15.75" customHeight="1">
      <c r="A298" s="66">
        <f t="shared" si="21"/>
        <v>260</v>
      </c>
      <c r="B298" s="67" t="s">
        <v>505</v>
      </c>
      <c r="C298" s="47" t="s">
        <v>56</v>
      </c>
      <c r="D298" s="66"/>
      <c r="E298" s="66"/>
      <c r="F298" s="260">
        <v>2195.9</v>
      </c>
      <c r="G298" s="395">
        <v>1977.3</v>
      </c>
      <c r="H298" s="50">
        <f>I298+J298+K298+L298+M298+N298+O298</f>
        <v>3608453.86</v>
      </c>
      <c r="I298" s="49">
        <v>0</v>
      </c>
      <c r="J298" s="50">
        <v>0</v>
      </c>
      <c r="K298" s="388">
        <f>ROUND(1824.94*G298,2)-O298</f>
        <v>3526141.78</v>
      </c>
      <c r="L298" s="49">
        <v>0</v>
      </c>
      <c r="M298" s="49">
        <v>0</v>
      </c>
      <c r="N298" s="49">
        <v>0</v>
      </c>
      <c r="O298" s="49">
        <v>82312.08</v>
      </c>
      <c r="P298" s="49">
        <v>0</v>
      </c>
      <c r="Q298" s="49">
        <v>0</v>
      </c>
      <c r="R298" s="49">
        <v>0</v>
      </c>
      <c r="S298" s="97">
        <f>H298</f>
        <v>3608453.86</v>
      </c>
      <c r="T298" s="66">
        <v>2017</v>
      </c>
      <c r="U298" s="66">
        <v>2017</v>
      </c>
      <c r="V298" s="236" t="s">
        <v>145</v>
      </c>
      <c r="W298" s="67" t="s">
        <v>495</v>
      </c>
    </row>
    <row r="299" spans="1:23" s="24" customFormat="1" ht="15.75" customHeight="1">
      <c r="A299" s="66">
        <f t="shared" si="21"/>
        <v>261</v>
      </c>
      <c r="B299" s="67" t="s">
        <v>512</v>
      </c>
      <c r="C299" s="66" t="s">
        <v>56</v>
      </c>
      <c r="D299" s="66"/>
      <c r="E299" s="66"/>
      <c r="F299" s="260">
        <v>2421</v>
      </c>
      <c r="G299" s="395">
        <v>2203.3000000000002</v>
      </c>
      <c r="H299" s="50">
        <f>I299+J299+K299+L299+M299+N299+O299</f>
        <v>5124007.74</v>
      </c>
      <c r="I299" s="19">
        <f>ROUND(G299*(256.88+332.83+191.67+381.86+292.97+727.06),2)-340000</f>
        <v>4470398.79</v>
      </c>
      <c r="J299" s="50">
        <v>0</v>
      </c>
      <c r="K299" s="19">
        <v>0</v>
      </c>
      <c r="L299" s="19">
        <v>0</v>
      </c>
      <c r="M299" s="19">
        <v>0</v>
      </c>
      <c r="N299" s="19">
        <f>ROUND(G299*296.65,2)</f>
        <v>653608.94999999995</v>
      </c>
      <c r="O299" s="49">
        <v>0</v>
      </c>
      <c r="P299" s="49">
        <v>0</v>
      </c>
      <c r="Q299" s="49">
        <v>0</v>
      </c>
      <c r="R299" s="49">
        <v>0</v>
      </c>
      <c r="S299" s="401">
        <f>H299</f>
        <v>5124007.74</v>
      </c>
      <c r="T299" s="66">
        <v>2016</v>
      </c>
      <c r="U299" s="66">
        <v>2017</v>
      </c>
      <c r="V299" s="67" t="s">
        <v>145</v>
      </c>
      <c r="W299" s="67" t="s">
        <v>495</v>
      </c>
    </row>
    <row r="300" spans="1:23" s="24" customFormat="1" ht="15.75" customHeight="1">
      <c r="A300" s="66">
        <f t="shared" si="21"/>
        <v>262</v>
      </c>
      <c r="B300" s="67" t="s">
        <v>392</v>
      </c>
      <c r="C300" s="66">
        <v>1979</v>
      </c>
      <c r="D300" s="66"/>
      <c r="E300" s="66"/>
      <c r="F300" s="33">
        <v>5959.8</v>
      </c>
      <c r="G300" s="136">
        <v>5061.5</v>
      </c>
      <c r="H300" s="50">
        <f>I300+J300+K300+L300+M300+N300+O300</f>
        <v>9113404.9800000004</v>
      </c>
      <c r="I300" s="71">
        <v>0</v>
      </c>
      <c r="J300" s="49">
        <f>ROUND(3*3037801.66,2)</f>
        <v>9113404.9800000004</v>
      </c>
      <c r="K300" s="49">
        <v>0</v>
      </c>
      <c r="L300" s="49">
        <v>0</v>
      </c>
      <c r="M300" s="49">
        <v>0</v>
      </c>
      <c r="N300" s="49">
        <v>0</v>
      </c>
      <c r="O300" s="49">
        <v>0</v>
      </c>
      <c r="P300" s="49">
        <v>0</v>
      </c>
      <c r="Q300" s="49">
        <v>0</v>
      </c>
      <c r="R300" s="49">
        <v>0</v>
      </c>
      <c r="S300" s="97">
        <f>H300</f>
        <v>9113404.9800000004</v>
      </c>
      <c r="T300" s="66">
        <v>2017</v>
      </c>
      <c r="U300" s="66">
        <v>2017</v>
      </c>
      <c r="V300" s="51" t="s">
        <v>411</v>
      </c>
      <c r="W300" s="66">
        <v>9</v>
      </c>
    </row>
    <row r="301" spans="1:23" s="24" customFormat="1" ht="15.75" customHeight="1">
      <c r="A301" s="66">
        <f t="shared" si="21"/>
        <v>263</v>
      </c>
      <c r="B301" s="67" t="s">
        <v>25</v>
      </c>
      <c r="C301" s="66">
        <v>1978</v>
      </c>
      <c r="D301" s="66"/>
      <c r="E301" s="66"/>
      <c r="F301" s="129">
        <v>7959.9</v>
      </c>
      <c r="G301" s="136">
        <v>6823.3</v>
      </c>
      <c r="H301" s="50">
        <f>I301+J301+K301+L301+M301+N301+O301</f>
        <v>1942854.96</v>
      </c>
      <c r="I301" s="49">
        <f>ROUND(304.67*$G301/107*100,2)-O301</f>
        <v>1826283.66</v>
      </c>
      <c r="J301" s="49">
        <v>0</v>
      </c>
      <c r="K301" s="49">
        <v>0</v>
      </c>
      <c r="L301" s="49">
        <v>0</v>
      </c>
      <c r="M301" s="49">
        <v>0</v>
      </c>
      <c r="N301" s="49">
        <v>0</v>
      </c>
      <c r="O301" s="49">
        <v>116571.3</v>
      </c>
      <c r="P301" s="49">
        <v>0</v>
      </c>
      <c r="Q301" s="49">
        <v>0</v>
      </c>
      <c r="R301" s="49">
        <v>0</v>
      </c>
      <c r="S301" s="97">
        <f>H301</f>
        <v>1942854.96</v>
      </c>
      <c r="T301" s="66">
        <v>2017</v>
      </c>
      <c r="U301" s="66">
        <v>2017</v>
      </c>
      <c r="V301" s="67" t="s">
        <v>411</v>
      </c>
      <c r="W301" s="66">
        <v>9</v>
      </c>
    </row>
    <row r="302" spans="1:23" s="24" customFormat="1" ht="15.75">
      <c r="A302" s="66">
        <f t="shared" si="21"/>
        <v>264</v>
      </c>
      <c r="B302" s="67" t="s">
        <v>397</v>
      </c>
      <c r="C302" s="66">
        <v>1986</v>
      </c>
      <c r="D302" s="66"/>
      <c r="E302" s="66"/>
      <c r="F302" s="129">
        <v>4394.3999999999996</v>
      </c>
      <c r="G302" s="136">
        <v>3760.7</v>
      </c>
      <c r="H302" s="50">
        <f>I302+J302+K302+L302+M302+N302+O302</f>
        <v>1070815.3899999999</v>
      </c>
      <c r="I302" s="49">
        <f>ROUND(304.67*$G302/107*100,2)-O302</f>
        <v>1006566.4699999999</v>
      </c>
      <c r="J302" s="49">
        <v>0</v>
      </c>
      <c r="K302" s="49">
        <v>0</v>
      </c>
      <c r="L302" s="49">
        <v>0</v>
      </c>
      <c r="M302" s="49">
        <v>0</v>
      </c>
      <c r="N302" s="49">
        <v>0</v>
      </c>
      <c r="O302" s="49">
        <v>64248.92</v>
      </c>
      <c r="P302" s="49">
        <v>0</v>
      </c>
      <c r="Q302" s="49">
        <v>0</v>
      </c>
      <c r="R302" s="49">
        <v>0</v>
      </c>
      <c r="S302" s="97">
        <f>H302</f>
        <v>1070815.3899999999</v>
      </c>
      <c r="T302" s="66">
        <v>2017</v>
      </c>
      <c r="U302" s="66">
        <v>2017</v>
      </c>
      <c r="V302" s="67" t="s">
        <v>411</v>
      </c>
      <c r="W302" s="66">
        <v>9</v>
      </c>
    </row>
    <row r="303" spans="1:23" s="24" customFormat="1" ht="15.75">
      <c r="A303" s="66">
        <f>A302+1</f>
        <v>265</v>
      </c>
      <c r="B303" s="25" t="s">
        <v>391</v>
      </c>
      <c r="C303" s="135">
        <v>1979</v>
      </c>
      <c r="D303" s="135"/>
      <c r="E303" s="135"/>
      <c r="F303" s="390">
        <v>6027.8</v>
      </c>
      <c r="G303" s="139">
        <v>5271</v>
      </c>
      <c r="H303" s="50">
        <f>I303+J303+K303+L303+M303+N303+O303</f>
        <v>9113404.9800000004</v>
      </c>
      <c r="I303" s="49">
        <v>0</v>
      </c>
      <c r="J303" s="49">
        <f>ROUND(3*3037801.66,2)</f>
        <v>9113404.9800000004</v>
      </c>
      <c r="K303" s="398">
        <v>0</v>
      </c>
      <c r="L303" s="49">
        <v>0</v>
      </c>
      <c r="M303" s="49">
        <v>0</v>
      </c>
      <c r="N303" s="49">
        <v>0</v>
      </c>
      <c r="O303" s="49">
        <v>0</v>
      </c>
      <c r="P303" s="49">
        <v>0</v>
      </c>
      <c r="Q303" s="49">
        <v>0</v>
      </c>
      <c r="R303" s="49">
        <v>0</v>
      </c>
      <c r="S303" s="97">
        <f>H303</f>
        <v>9113404.9800000004</v>
      </c>
      <c r="T303" s="66">
        <v>2017</v>
      </c>
      <c r="U303" s="66">
        <v>2017</v>
      </c>
      <c r="V303" s="404" t="s">
        <v>411</v>
      </c>
      <c r="W303" s="135">
        <v>9</v>
      </c>
    </row>
    <row r="304" spans="1:23" s="24" customFormat="1" ht="15.75">
      <c r="A304" s="66">
        <f t="shared" si="21"/>
        <v>266</v>
      </c>
      <c r="B304" s="67" t="s">
        <v>406</v>
      </c>
      <c r="C304" s="66">
        <v>1969</v>
      </c>
      <c r="D304" s="66"/>
      <c r="E304" s="66"/>
      <c r="F304" s="129">
        <v>4061.8</v>
      </c>
      <c r="G304" s="129">
        <v>3681.9</v>
      </c>
      <c r="H304" s="50">
        <f>I304+J304+K304+L304+M304+N304+O304</f>
        <v>1231612.76</v>
      </c>
      <c r="I304" s="49">
        <f>ROUND(357.92*$G304/107*100,2)-O304</f>
        <v>1157715.99</v>
      </c>
      <c r="J304" s="49">
        <v>0</v>
      </c>
      <c r="K304" s="49">
        <v>0</v>
      </c>
      <c r="L304" s="49">
        <v>0</v>
      </c>
      <c r="M304" s="49">
        <v>0</v>
      </c>
      <c r="N304" s="49">
        <v>0</v>
      </c>
      <c r="O304" s="49">
        <v>73896.77</v>
      </c>
      <c r="P304" s="49">
        <v>0</v>
      </c>
      <c r="Q304" s="49">
        <v>0</v>
      </c>
      <c r="R304" s="49">
        <v>0</v>
      </c>
      <c r="S304" s="97">
        <f>H304</f>
        <v>1231612.76</v>
      </c>
      <c r="T304" s="66">
        <v>2017</v>
      </c>
      <c r="U304" s="66">
        <v>2017</v>
      </c>
      <c r="V304" s="67" t="s">
        <v>412</v>
      </c>
      <c r="W304" s="66">
        <v>9</v>
      </c>
    </row>
    <row r="305" spans="1:23" s="24" customFormat="1" ht="15.75">
      <c r="A305" s="66">
        <f t="shared" si="21"/>
        <v>267</v>
      </c>
      <c r="B305" s="67" t="s">
        <v>407</v>
      </c>
      <c r="C305" s="66">
        <v>1987</v>
      </c>
      <c r="D305" s="66"/>
      <c r="E305" s="66"/>
      <c r="F305" s="129">
        <v>3017.5</v>
      </c>
      <c r="G305" s="129">
        <v>2609.6</v>
      </c>
      <c r="H305" s="50">
        <f>I305+J305+K305+L305+M305+N305+O305</f>
        <v>872923.39</v>
      </c>
      <c r="I305" s="71">
        <f>ROUND(357.92*$G305/107*100,2)-O305</f>
        <v>820547.99</v>
      </c>
      <c r="J305" s="49">
        <v>0</v>
      </c>
      <c r="K305" s="49">
        <v>0</v>
      </c>
      <c r="L305" s="49">
        <v>0</v>
      </c>
      <c r="M305" s="49">
        <v>0</v>
      </c>
      <c r="N305" s="49">
        <v>0</v>
      </c>
      <c r="O305" s="49">
        <v>52375.4</v>
      </c>
      <c r="P305" s="49">
        <v>0</v>
      </c>
      <c r="Q305" s="49">
        <v>0</v>
      </c>
      <c r="R305" s="49">
        <v>0</v>
      </c>
      <c r="S305" s="97">
        <f>H305</f>
        <v>872923.39</v>
      </c>
      <c r="T305" s="66">
        <v>2017</v>
      </c>
      <c r="U305" s="66">
        <v>2017</v>
      </c>
      <c r="V305" s="67" t="s">
        <v>412</v>
      </c>
      <c r="W305" s="66">
        <v>9</v>
      </c>
    </row>
    <row r="306" spans="1:23" s="24" customFormat="1" ht="15.75">
      <c r="A306" s="66">
        <f t="shared" si="21"/>
        <v>268</v>
      </c>
      <c r="B306" s="141" t="s">
        <v>26</v>
      </c>
      <c r="C306" s="140">
        <v>1989</v>
      </c>
      <c r="D306" s="66"/>
      <c r="E306" s="66"/>
      <c r="F306" s="392">
        <v>5304.1</v>
      </c>
      <c r="G306" s="392">
        <v>4379.6000000000004</v>
      </c>
      <c r="H306" s="50">
        <f>I306+J306+K306+L306+M306+N306+O306</f>
        <v>3082099.7</v>
      </c>
      <c r="I306" s="49">
        <v>0</v>
      </c>
      <c r="J306" s="49">
        <v>0</v>
      </c>
      <c r="K306" s="388">
        <f>ROUND(703.74*G306,2)-O306</f>
        <v>2998071.9000000004</v>
      </c>
      <c r="L306" s="49">
        <v>0</v>
      </c>
      <c r="M306" s="49">
        <v>0</v>
      </c>
      <c r="N306" s="49">
        <v>0</v>
      </c>
      <c r="O306" s="49">
        <v>84027.8</v>
      </c>
      <c r="P306" s="49">
        <v>0</v>
      </c>
      <c r="Q306" s="49">
        <v>0</v>
      </c>
      <c r="R306" s="49">
        <v>0</v>
      </c>
      <c r="S306" s="97">
        <f>H306</f>
        <v>3082099.7</v>
      </c>
      <c r="T306" s="66">
        <v>2017</v>
      </c>
      <c r="U306" s="66">
        <v>2017</v>
      </c>
      <c r="V306" s="144" t="s">
        <v>411</v>
      </c>
      <c r="W306" s="143">
        <v>9</v>
      </c>
    </row>
    <row r="307" spans="1:23" s="24" customFormat="1" ht="15.75">
      <c r="A307" s="66">
        <f t="shared" si="21"/>
        <v>269</v>
      </c>
      <c r="B307" s="255" t="s">
        <v>404</v>
      </c>
      <c r="C307" s="195">
        <v>1980</v>
      </c>
      <c r="D307" s="195"/>
      <c r="E307" s="195"/>
      <c r="F307" s="393">
        <v>2377.5</v>
      </c>
      <c r="G307" s="129">
        <v>2073.4</v>
      </c>
      <c r="H307" s="50">
        <f>I307+J307+K307+L307+M307+N307+O307</f>
        <v>568227.87</v>
      </c>
      <c r="I307" s="49">
        <f>ROUND(293.24*$G307/107*100,2)-O307</f>
        <v>534134.19999999995</v>
      </c>
      <c r="J307" s="49">
        <v>0</v>
      </c>
      <c r="K307" s="398">
        <v>0</v>
      </c>
      <c r="L307" s="49">
        <v>0</v>
      </c>
      <c r="M307" s="49">
        <v>0</v>
      </c>
      <c r="N307" s="49">
        <v>0</v>
      </c>
      <c r="O307" s="49">
        <v>34093.67</v>
      </c>
      <c r="P307" s="49">
        <v>0</v>
      </c>
      <c r="Q307" s="49">
        <v>0</v>
      </c>
      <c r="R307" s="49">
        <v>0</v>
      </c>
      <c r="S307" s="97">
        <f>H307</f>
        <v>568227.87</v>
      </c>
      <c r="T307" s="66">
        <v>2017</v>
      </c>
      <c r="U307" s="66">
        <v>2017</v>
      </c>
      <c r="V307" s="67" t="s">
        <v>411</v>
      </c>
      <c r="W307" s="66">
        <v>5</v>
      </c>
    </row>
    <row r="308" spans="1:23" s="24" customFormat="1" ht="15.75">
      <c r="A308" s="66">
        <f t="shared" si="21"/>
        <v>270</v>
      </c>
      <c r="B308" s="67" t="s">
        <v>405</v>
      </c>
      <c r="C308" s="66">
        <v>1983</v>
      </c>
      <c r="D308" s="66"/>
      <c r="E308" s="66"/>
      <c r="F308" s="129">
        <v>4521.2</v>
      </c>
      <c r="G308" s="129">
        <v>4026.5</v>
      </c>
      <c r="H308" s="188">
        <f>I308+J308+K308+L308+M308+N308+O308</f>
        <v>1103486.79</v>
      </c>
      <c r="I308" s="71">
        <f>ROUND(293.24*$G308/107*100,2)-O308</f>
        <v>1037277.5800000001</v>
      </c>
      <c r="J308" s="189">
        <v>0</v>
      </c>
      <c r="K308" s="71">
        <v>0</v>
      </c>
      <c r="L308" s="71">
        <v>0</v>
      </c>
      <c r="M308" s="71">
        <v>0</v>
      </c>
      <c r="N308" s="71">
        <v>0</v>
      </c>
      <c r="O308" s="71">
        <v>66209.210000000006</v>
      </c>
      <c r="P308" s="189">
        <v>0</v>
      </c>
      <c r="Q308" s="189">
        <v>0</v>
      </c>
      <c r="R308" s="189">
        <v>0</v>
      </c>
      <c r="S308" s="400">
        <f>H308</f>
        <v>1103486.79</v>
      </c>
      <c r="T308" s="66">
        <v>2017</v>
      </c>
      <c r="U308" s="66">
        <v>2017</v>
      </c>
      <c r="V308" s="67" t="s">
        <v>411</v>
      </c>
      <c r="W308" s="66">
        <v>5</v>
      </c>
    </row>
    <row r="309" spans="1:23" s="24" customFormat="1" ht="15.75">
      <c r="A309" s="66">
        <f t="shared" si="21"/>
        <v>271</v>
      </c>
      <c r="B309" s="274" t="s">
        <v>514</v>
      </c>
      <c r="C309" s="223">
        <v>1980</v>
      </c>
      <c r="D309" s="223"/>
      <c r="E309" s="223"/>
      <c r="F309" s="275">
        <v>3937.4</v>
      </c>
      <c r="G309" s="276">
        <v>3444.8</v>
      </c>
      <c r="H309" s="277">
        <f>I309+J309+K309+L309+M309+N309+O309</f>
        <v>1056657.95</v>
      </c>
      <c r="I309" s="397">
        <v>0</v>
      </c>
      <c r="J309" s="277">
        <v>0</v>
      </c>
      <c r="K309" s="399">
        <v>0</v>
      </c>
      <c r="L309" s="397">
        <v>0</v>
      </c>
      <c r="M309" s="397">
        <f>ROUND(G309*306.74,2)-O309</f>
        <v>993258.47</v>
      </c>
      <c r="N309" s="397">
        <v>0</v>
      </c>
      <c r="O309" s="278">
        <v>63399.48</v>
      </c>
      <c r="P309" s="278">
        <v>0</v>
      </c>
      <c r="Q309" s="278">
        <v>0</v>
      </c>
      <c r="R309" s="278">
        <v>0</v>
      </c>
      <c r="S309" s="403">
        <f>H309</f>
        <v>1056657.95</v>
      </c>
      <c r="T309" s="135">
        <v>2016</v>
      </c>
      <c r="U309" s="135">
        <v>2017</v>
      </c>
      <c r="V309" s="67" t="s">
        <v>365</v>
      </c>
      <c r="W309" s="67">
        <v>5</v>
      </c>
    </row>
    <row r="310" spans="1:23" s="24" customFormat="1" ht="15.75">
      <c r="A310" s="66">
        <f t="shared" si="21"/>
        <v>272</v>
      </c>
      <c r="B310" s="67" t="s">
        <v>409</v>
      </c>
      <c r="C310" s="66">
        <v>1981</v>
      </c>
      <c r="D310" s="66"/>
      <c r="E310" s="66"/>
      <c r="F310" s="129">
        <v>2380.1</v>
      </c>
      <c r="G310" s="129">
        <v>2074.1</v>
      </c>
      <c r="H310" s="188">
        <f>I310+J310+K310+L310+M310+N310+O310</f>
        <v>2175502.75</v>
      </c>
      <c r="I310" s="71">
        <f>ROUND((332.83+716.06)*$G310,2)-O310</f>
        <v>2080570.57</v>
      </c>
      <c r="J310" s="189">
        <v>0</v>
      </c>
      <c r="K310" s="71">
        <v>0</v>
      </c>
      <c r="L310" s="71">
        <v>0</v>
      </c>
      <c r="M310" s="71">
        <v>0</v>
      </c>
      <c r="N310" s="71">
        <v>0</v>
      </c>
      <c r="O310" s="189">
        <v>94932.18</v>
      </c>
      <c r="P310" s="189">
        <v>0</v>
      </c>
      <c r="Q310" s="189">
        <v>0</v>
      </c>
      <c r="R310" s="189">
        <v>0</v>
      </c>
      <c r="S310" s="400">
        <f>H310</f>
        <v>2175502.75</v>
      </c>
      <c r="T310" s="66">
        <v>2017</v>
      </c>
      <c r="U310" s="66">
        <v>2017</v>
      </c>
      <c r="V310" s="67" t="s">
        <v>411</v>
      </c>
      <c r="W310" s="66">
        <v>5</v>
      </c>
    </row>
    <row r="311" spans="1:23" s="24" customFormat="1" ht="15.75">
      <c r="A311" s="66">
        <f t="shared" si="21"/>
        <v>273</v>
      </c>
      <c r="B311" s="67" t="s">
        <v>419</v>
      </c>
      <c r="C311" s="66">
        <v>1957</v>
      </c>
      <c r="D311" s="66"/>
      <c r="E311" s="66"/>
      <c r="F311" s="129">
        <v>1767.2</v>
      </c>
      <c r="G311" s="129">
        <v>1647.9</v>
      </c>
      <c r="H311" s="188">
        <f>I311+J311+K311+L311+M311+N311+O311</f>
        <v>2545230.9900000002</v>
      </c>
      <c r="I311" s="45">
        <f>ROUND((332.83+191.67+292.97+727.06)*G311,2)-O311</f>
        <v>2412859.77</v>
      </c>
      <c r="J311" s="188">
        <v>0</v>
      </c>
      <c r="K311" s="71">
        <v>0</v>
      </c>
      <c r="L311" s="71">
        <v>0</v>
      </c>
      <c r="M311" s="71">
        <v>0</v>
      </c>
      <c r="N311" s="71">
        <v>0</v>
      </c>
      <c r="O311" s="189">
        <v>132371.22</v>
      </c>
      <c r="P311" s="189">
        <v>0</v>
      </c>
      <c r="Q311" s="189">
        <v>0</v>
      </c>
      <c r="R311" s="189">
        <v>0</v>
      </c>
      <c r="S311" s="400">
        <f>H311</f>
        <v>2545230.9900000002</v>
      </c>
      <c r="T311" s="66">
        <v>2017</v>
      </c>
      <c r="U311" s="66">
        <v>2017</v>
      </c>
      <c r="V311" s="67" t="s">
        <v>412</v>
      </c>
      <c r="W311" s="66">
        <v>3</v>
      </c>
    </row>
    <row r="312" spans="1:23" s="24" customFormat="1" ht="15.75">
      <c r="A312" s="66">
        <f t="shared" si="21"/>
        <v>274</v>
      </c>
      <c r="B312" s="238" t="s">
        <v>418</v>
      </c>
      <c r="C312" s="279">
        <v>1969</v>
      </c>
      <c r="D312" s="279"/>
      <c r="E312" s="279"/>
      <c r="F312" s="394">
        <v>4553.1000000000004</v>
      </c>
      <c r="G312" s="394">
        <v>4115.8999999999996</v>
      </c>
      <c r="H312" s="280">
        <f>I312+J312+K312+L312+M312+N312+O312</f>
        <v>4987236.03</v>
      </c>
      <c r="I312" s="308">
        <f>ROUND((191.67+292.97+727.06)*$G312,2)-O312</f>
        <v>4688001.87</v>
      </c>
      <c r="J312" s="281">
        <v>0</v>
      </c>
      <c r="K312" s="308">
        <v>0</v>
      </c>
      <c r="L312" s="308">
        <v>0</v>
      </c>
      <c r="M312" s="308">
        <v>0</v>
      </c>
      <c r="N312" s="308">
        <v>0</v>
      </c>
      <c r="O312" s="281">
        <v>299234.15999999997</v>
      </c>
      <c r="P312" s="281">
        <v>0</v>
      </c>
      <c r="Q312" s="281">
        <v>0</v>
      </c>
      <c r="R312" s="281">
        <v>0</v>
      </c>
      <c r="S312" s="402">
        <f>H312</f>
        <v>4987236.03</v>
      </c>
      <c r="T312" s="279">
        <v>2017</v>
      </c>
      <c r="U312" s="279">
        <v>2017</v>
      </c>
      <c r="V312" s="67" t="s">
        <v>412</v>
      </c>
      <c r="W312" s="66">
        <v>5</v>
      </c>
    </row>
    <row r="313" spans="1:23" ht="15.75">
      <c r="A313" s="327" t="s">
        <v>263</v>
      </c>
      <c r="B313" s="333"/>
      <c r="C313" s="53"/>
      <c r="D313" s="53"/>
      <c r="E313" s="215"/>
      <c r="F313" s="65">
        <f t="shared" ref="F313:O313" si="22">SUM(F282:F312)</f>
        <v>129810.2</v>
      </c>
      <c r="G313" s="65">
        <f t="shared" si="22"/>
        <v>114490.8</v>
      </c>
      <c r="H313" s="46">
        <f t="shared" si="22"/>
        <v>101875530.72000003</v>
      </c>
      <c r="I313" s="46">
        <f t="shared" si="22"/>
        <v>37999187.539999999</v>
      </c>
      <c r="J313" s="46">
        <f t="shared" si="22"/>
        <v>36453619.920000002</v>
      </c>
      <c r="K313" s="46">
        <f t="shared" si="22"/>
        <v>9407721.7599999998</v>
      </c>
      <c r="L313" s="46">
        <f t="shared" si="22"/>
        <v>0</v>
      </c>
      <c r="M313" s="46">
        <f t="shared" si="22"/>
        <v>14849181.529999999</v>
      </c>
      <c r="N313" s="46">
        <f t="shared" si="22"/>
        <v>653608.94999999995</v>
      </c>
      <c r="O313" s="46">
        <f t="shared" si="22"/>
        <v>2512211.02</v>
      </c>
      <c r="P313" s="46">
        <f>SUM(P282:P312)</f>
        <v>0</v>
      </c>
      <c r="Q313" s="46">
        <f>SUM(Q282:Q312)</f>
        <v>0</v>
      </c>
      <c r="R313" s="46">
        <f>SUM(R282:R312)</f>
        <v>0</v>
      </c>
      <c r="S313" s="46">
        <f>SUM(S282:S312)</f>
        <v>101875530.72000003</v>
      </c>
      <c r="T313" s="22" t="s">
        <v>113</v>
      </c>
      <c r="U313" s="22" t="s">
        <v>113</v>
      </c>
    </row>
    <row r="314" spans="1:23" ht="15.75">
      <c r="A314" s="329" t="s">
        <v>65</v>
      </c>
      <c r="B314" s="330"/>
      <c r="C314" s="330"/>
      <c r="D314" s="330"/>
      <c r="E314" s="331"/>
      <c r="F314" s="330"/>
      <c r="G314" s="330"/>
      <c r="H314" s="330"/>
      <c r="I314" s="330"/>
      <c r="J314" s="330"/>
      <c r="K314" s="330"/>
      <c r="L314" s="330"/>
      <c r="M314" s="330"/>
      <c r="N314" s="330"/>
      <c r="O314" s="330"/>
      <c r="P314" s="330"/>
      <c r="Q314" s="330"/>
      <c r="R314" s="330"/>
      <c r="S314" s="332"/>
      <c r="T314" s="36"/>
      <c r="U314" s="36"/>
    </row>
    <row r="315" spans="1:23" ht="15.75">
      <c r="A315" s="329" t="s">
        <v>66</v>
      </c>
      <c r="B315" s="343"/>
      <c r="C315" s="330"/>
      <c r="D315" s="330"/>
      <c r="E315" s="331"/>
      <c r="F315" s="330"/>
      <c r="G315" s="330"/>
      <c r="H315" s="330"/>
      <c r="I315" s="330"/>
      <c r="J315" s="330"/>
      <c r="K315" s="330"/>
      <c r="L315" s="330"/>
      <c r="M315" s="330"/>
      <c r="N315" s="330"/>
      <c r="O315" s="330"/>
      <c r="P315" s="330"/>
      <c r="Q315" s="330"/>
      <c r="R315" s="330"/>
      <c r="S315" s="332"/>
      <c r="T315" s="36"/>
      <c r="U315" s="36"/>
    </row>
    <row r="316" spans="1:23" ht="15.75">
      <c r="A316" s="66">
        <f>A312+1</f>
        <v>275</v>
      </c>
      <c r="B316" s="183" t="s">
        <v>269</v>
      </c>
      <c r="C316" s="184">
        <v>1980</v>
      </c>
      <c r="D316" s="198"/>
      <c r="E316" s="198"/>
      <c r="F316" s="151">
        <v>3953.2</v>
      </c>
      <c r="G316" s="158">
        <v>3607.13</v>
      </c>
      <c r="H316" s="50">
        <f>I316+J316+K316+L316+M316+N316+O316</f>
        <v>1106451.06</v>
      </c>
      <c r="I316" s="49">
        <v>0</v>
      </c>
      <c r="J316" s="49">
        <v>0</v>
      </c>
      <c r="K316" s="31">
        <v>0</v>
      </c>
      <c r="L316" s="49">
        <v>0</v>
      </c>
      <c r="M316" s="49">
        <f>ROUND(306.74*G316,2)-O316</f>
        <v>1040064</v>
      </c>
      <c r="N316" s="49">
        <v>0</v>
      </c>
      <c r="O316" s="49">
        <v>66387.06</v>
      </c>
      <c r="P316" s="49">
        <v>0</v>
      </c>
      <c r="Q316" s="49">
        <v>0</v>
      </c>
      <c r="R316" s="49">
        <v>0</v>
      </c>
      <c r="S316" s="97">
        <f>H316</f>
        <v>1106451.06</v>
      </c>
      <c r="T316" s="66">
        <v>2017</v>
      </c>
      <c r="U316" s="66">
        <v>2017</v>
      </c>
      <c r="V316" s="185" t="s">
        <v>271</v>
      </c>
      <c r="W316" s="185">
        <v>5</v>
      </c>
    </row>
    <row r="317" spans="1:23" ht="15.75">
      <c r="A317" s="66">
        <f>A316+1</f>
        <v>276</v>
      </c>
      <c r="B317" s="183" t="s">
        <v>270</v>
      </c>
      <c r="C317" s="184">
        <v>1974</v>
      </c>
      <c r="D317" s="184"/>
      <c r="E317" s="216"/>
      <c r="F317" s="186">
        <v>4691.3999999999996</v>
      </c>
      <c r="G317" s="186">
        <v>3421.3</v>
      </c>
      <c r="H317" s="50">
        <f>I317+J317+K317+L317+M317+N317+O317</f>
        <v>3669173.19</v>
      </c>
      <c r="I317" s="49">
        <v>0</v>
      </c>
      <c r="J317" s="49">
        <v>0</v>
      </c>
      <c r="K317" s="31">
        <f>ROUND(1072.45*G317,2)-O317</f>
        <v>3571464.4699999997</v>
      </c>
      <c r="L317" s="49">
        <v>0</v>
      </c>
      <c r="M317" s="71">
        <v>0</v>
      </c>
      <c r="N317" s="49">
        <v>0</v>
      </c>
      <c r="O317" s="49">
        <v>97708.72</v>
      </c>
      <c r="P317" s="49">
        <v>0</v>
      </c>
      <c r="Q317" s="49">
        <v>0</v>
      </c>
      <c r="R317" s="49">
        <v>0</v>
      </c>
      <c r="S317" s="97">
        <f>H317</f>
        <v>3669173.19</v>
      </c>
      <c r="T317" s="66">
        <v>2017</v>
      </c>
      <c r="U317" s="66">
        <v>2017</v>
      </c>
      <c r="V317" s="185" t="s">
        <v>271</v>
      </c>
      <c r="W317" s="185">
        <v>5</v>
      </c>
    </row>
    <row r="318" spans="1:23" ht="15.75">
      <c r="A318" s="327" t="s">
        <v>263</v>
      </c>
      <c r="B318" s="333"/>
      <c r="C318" s="53"/>
      <c r="D318" s="53"/>
      <c r="E318" s="215"/>
      <c r="F318" s="65">
        <f t="shared" ref="F318:O318" si="23">SUM(F316:F317)</f>
        <v>8644.5999999999985</v>
      </c>
      <c r="G318" s="96">
        <f t="shared" si="23"/>
        <v>7028.43</v>
      </c>
      <c r="H318" s="52">
        <f t="shared" si="23"/>
        <v>4775624.25</v>
      </c>
      <c r="I318" s="46">
        <f t="shared" si="23"/>
        <v>0</v>
      </c>
      <c r="J318" s="46">
        <f t="shared" si="23"/>
        <v>0</v>
      </c>
      <c r="K318" s="46">
        <f t="shared" si="23"/>
        <v>3571464.4699999997</v>
      </c>
      <c r="L318" s="46">
        <f t="shared" si="23"/>
        <v>0</v>
      </c>
      <c r="M318" s="46">
        <f t="shared" si="23"/>
        <v>1040064</v>
      </c>
      <c r="N318" s="46">
        <f t="shared" si="23"/>
        <v>0</v>
      </c>
      <c r="O318" s="46">
        <f t="shared" si="23"/>
        <v>164095.78</v>
      </c>
      <c r="P318" s="46">
        <f>SUM(P316:P317)</f>
        <v>0</v>
      </c>
      <c r="Q318" s="46">
        <f>SUM(Q316:Q317)</f>
        <v>0</v>
      </c>
      <c r="R318" s="46">
        <f>SUM(R316:R317)</f>
        <v>0</v>
      </c>
      <c r="S318" s="96">
        <f>SUM(S316:S317)</f>
        <v>4775624.25</v>
      </c>
      <c r="T318" s="22" t="s">
        <v>113</v>
      </c>
      <c r="U318" s="22" t="s">
        <v>113</v>
      </c>
    </row>
    <row r="319" spans="1:23" ht="15.75">
      <c r="A319" s="329" t="s">
        <v>68</v>
      </c>
      <c r="B319" s="330"/>
      <c r="C319" s="330"/>
      <c r="D319" s="330"/>
      <c r="E319" s="331"/>
      <c r="F319" s="330"/>
      <c r="G319" s="330"/>
      <c r="H319" s="330"/>
      <c r="I319" s="330"/>
      <c r="J319" s="330"/>
      <c r="K319" s="330"/>
      <c r="L319" s="330"/>
      <c r="M319" s="330"/>
      <c r="N319" s="330"/>
      <c r="O319" s="330"/>
      <c r="P319" s="330"/>
      <c r="Q319" s="330"/>
      <c r="R319" s="330"/>
      <c r="S319" s="332"/>
      <c r="T319" s="36"/>
      <c r="U319" s="36"/>
    </row>
    <row r="320" spans="1:23" s="24" customFormat="1" ht="15.75" customHeight="1">
      <c r="A320" s="47">
        <f>A317+1</f>
        <v>277</v>
      </c>
      <c r="B320" s="48" t="s">
        <v>284</v>
      </c>
      <c r="C320" s="47">
        <v>1973</v>
      </c>
      <c r="D320" s="47"/>
      <c r="E320" s="195"/>
      <c r="F320" s="282">
        <v>430.9</v>
      </c>
      <c r="G320" s="282">
        <v>401.5</v>
      </c>
      <c r="H320" s="50">
        <f>I320+J320+K320+L320+M320+N320+O320</f>
        <v>1690973.46</v>
      </c>
      <c r="I320" s="49">
        <v>0</v>
      </c>
      <c r="J320" s="49">
        <v>0</v>
      </c>
      <c r="K320" s="49">
        <f>ROUND(4211.64*G320,2)-O320</f>
        <v>1631908.56</v>
      </c>
      <c r="L320" s="49">
        <v>0</v>
      </c>
      <c r="M320" s="49">
        <v>0</v>
      </c>
      <c r="N320" s="49">
        <v>0</v>
      </c>
      <c r="O320" s="49">
        <v>59064.9</v>
      </c>
      <c r="P320" s="49">
        <v>0</v>
      </c>
      <c r="Q320" s="49">
        <v>0</v>
      </c>
      <c r="R320" s="49">
        <v>0</v>
      </c>
      <c r="S320" s="94">
        <f>H320</f>
        <v>1690973.46</v>
      </c>
      <c r="T320" s="66">
        <v>2017</v>
      </c>
      <c r="U320" s="66">
        <v>2017</v>
      </c>
      <c r="V320" s="48" t="s">
        <v>153</v>
      </c>
      <c r="W320" s="48" t="s">
        <v>16</v>
      </c>
    </row>
    <row r="321" spans="1:24" s="24" customFormat="1" ht="15.75" customHeight="1">
      <c r="A321" s="47">
        <f>A320+1</f>
        <v>278</v>
      </c>
      <c r="B321" s="48" t="s">
        <v>501</v>
      </c>
      <c r="C321" s="47">
        <v>1966</v>
      </c>
      <c r="D321" s="47"/>
      <c r="E321" s="195"/>
      <c r="F321" s="282">
        <v>784.4</v>
      </c>
      <c r="G321" s="282">
        <v>725.5</v>
      </c>
      <c r="H321" s="50">
        <f>I321+J321+K321+L321+M321+N321+O321</f>
        <v>3055544.82</v>
      </c>
      <c r="I321" s="49">
        <v>0</v>
      </c>
      <c r="J321" s="49">
        <v>0</v>
      </c>
      <c r="K321" s="49">
        <f>ROUND(4211.64*G321,2)-O321</f>
        <v>2975558.52</v>
      </c>
      <c r="L321" s="49">
        <v>0</v>
      </c>
      <c r="M321" s="49">
        <v>0</v>
      </c>
      <c r="N321" s="49">
        <v>0</v>
      </c>
      <c r="O321" s="49">
        <v>79986.3</v>
      </c>
      <c r="P321" s="49">
        <v>0</v>
      </c>
      <c r="Q321" s="49">
        <v>0</v>
      </c>
      <c r="R321" s="49">
        <v>0</v>
      </c>
      <c r="S321" s="94">
        <f>H321</f>
        <v>3055544.82</v>
      </c>
      <c r="T321" s="66">
        <v>2017</v>
      </c>
      <c r="U321" s="66">
        <v>2017</v>
      </c>
      <c r="V321" s="48" t="s">
        <v>287</v>
      </c>
      <c r="W321" s="48" t="s">
        <v>16</v>
      </c>
    </row>
    <row r="322" spans="1:24" s="24" customFormat="1" ht="15.75" customHeight="1">
      <c r="A322" s="47">
        <f>A321+1</f>
        <v>279</v>
      </c>
      <c r="B322" s="48" t="s">
        <v>283</v>
      </c>
      <c r="C322" s="47">
        <v>1970</v>
      </c>
      <c r="D322" s="47"/>
      <c r="E322" s="195"/>
      <c r="F322" s="282">
        <v>373</v>
      </c>
      <c r="G322" s="282">
        <v>345.4</v>
      </c>
      <c r="H322" s="50">
        <f>I322+J322+K322+L322+M322+N322+O322</f>
        <v>1454700.46</v>
      </c>
      <c r="I322" s="49">
        <v>0</v>
      </c>
      <c r="J322" s="49">
        <v>0</v>
      </c>
      <c r="K322" s="49">
        <f>ROUND(4211.64*G322,2)-O322</f>
        <v>1393179.98</v>
      </c>
      <c r="L322" s="49">
        <v>0</v>
      </c>
      <c r="M322" s="49">
        <v>0</v>
      </c>
      <c r="N322" s="49">
        <v>0</v>
      </c>
      <c r="O322" s="49">
        <v>61520.480000000003</v>
      </c>
      <c r="P322" s="49">
        <v>0</v>
      </c>
      <c r="Q322" s="49">
        <v>0</v>
      </c>
      <c r="R322" s="49">
        <v>0</v>
      </c>
      <c r="S322" s="94">
        <f>H322</f>
        <v>1454700.46</v>
      </c>
      <c r="T322" s="66">
        <v>2017</v>
      </c>
      <c r="U322" s="66">
        <v>2017</v>
      </c>
      <c r="V322" s="48" t="s">
        <v>153</v>
      </c>
      <c r="W322" s="48" t="s">
        <v>16</v>
      </c>
    </row>
    <row r="323" spans="1:24" s="24" customFormat="1" ht="15.75" customHeight="1">
      <c r="A323" s="47">
        <f>A322+1</f>
        <v>280</v>
      </c>
      <c r="B323" s="48" t="s">
        <v>69</v>
      </c>
      <c r="C323" s="47">
        <v>1950</v>
      </c>
      <c r="D323" s="47"/>
      <c r="E323" s="195"/>
      <c r="F323" s="282">
        <v>433.6</v>
      </c>
      <c r="G323" s="282">
        <v>388.8</v>
      </c>
      <c r="H323" s="50">
        <f>I323+J323+K323+L323+M323+N323+O323</f>
        <v>65007.360000000001</v>
      </c>
      <c r="I323" s="49">
        <f>ROUND(167.2*G323,2)-O323</f>
        <v>61106.92</v>
      </c>
      <c r="J323" s="49">
        <v>0</v>
      </c>
      <c r="K323" s="49">
        <v>0</v>
      </c>
      <c r="L323" s="49">
        <v>0</v>
      </c>
      <c r="M323" s="49">
        <v>0</v>
      </c>
      <c r="N323" s="49">
        <v>0</v>
      </c>
      <c r="O323" s="49">
        <v>3900.44</v>
      </c>
      <c r="P323" s="49">
        <v>0</v>
      </c>
      <c r="Q323" s="49">
        <v>0</v>
      </c>
      <c r="R323" s="49">
        <v>0</v>
      </c>
      <c r="S323" s="94">
        <f>H323</f>
        <v>65007.360000000001</v>
      </c>
      <c r="T323" s="66">
        <v>2017</v>
      </c>
      <c r="U323" s="66">
        <v>2017</v>
      </c>
      <c r="V323" s="48" t="s">
        <v>153</v>
      </c>
      <c r="W323" s="48" t="s">
        <v>16</v>
      </c>
    </row>
    <row r="324" spans="1:24" s="24" customFormat="1" ht="15.75" customHeight="1">
      <c r="A324" s="47">
        <f>A323+1</f>
        <v>281</v>
      </c>
      <c r="B324" s="48" t="s">
        <v>285</v>
      </c>
      <c r="C324" s="47">
        <v>1967</v>
      </c>
      <c r="D324" s="47"/>
      <c r="E324" s="195"/>
      <c r="F324" s="200">
        <v>1653.4</v>
      </c>
      <c r="G324" s="200">
        <v>1558.1</v>
      </c>
      <c r="H324" s="50">
        <f>I324+J324+K324+L324+M324+N324+O324</f>
        <v>2843439.01</v>
      </c>
      <c r="I324" s="49">
        <v>0</v>
      </c>
      <c r="J324" s="49">
        <v>0</v>
      </c>
      <c r="K324" s="49">
        <f>ROUND(1824.94*G324,2)-O324</f>
        <v>2784927.53</v>
      </c>
      <c r="L324" s="49">
        <v>0</v>
      </c>
      <c r="M324" s="49">
        <v>0</v>
      </c>
      <c r="N324" s="49">
        <v>0</v>
      </c>
      <c r="O324" s="49">
        <v>58511.48</v>
      </c>
      <c r="P324" s="49">
        <v>0</v>
      </c>
      <c r="Q324" s="49">
        <v>0</v>
      </c>
      <c r="R324" s="49">
        <v>0</v>
      </c>
      <c r="S324" s="94">
        <f>H324</f>
        <v>2843439.01</v>
      </c>
      <c r="T324" s="66">
        <v>2017</v>
      </c>
      <c r="U324" s="66">
        <v>2017</v>
      </c>
      <c r="V324" s="48" t="s">
        <v>287</v>
      </c>
      <c r="W324" s="48">
        <v>4</v>
      </c>
    </row>
    <row r="325" spans="1:24" s="24" customFormat="1" ht="15.75" customHeight="1">
      <c r="A325" s="47">
        <f>A324+1</f>
        <v>282</v>
      </c>
      <c r="B325" s="48" t="s">
        <v>286</v>
      </c>
      <c r="C325" s="47">
        <v>1983</v>
      </c>
      <c r="D325" s="47"/>
      <c r="E325" s="195"/>
      <c r="F325" s="282">
        <v>981.1</v>
      </c>
      <c r="G325" s="282">
        <v>923.3</v>
      </c>
      <c r="H325" s="50">
        <f>I325+J325+K325+L325+M325+N325+O325</f>
        <v>3888607.21</v>
      </c>
      <c r="I325" s="49">
        <v>0</v>
      </c>
      <c r="J325" s="49">
        <v>0</v>
      </c>
      <c r="K325" s="49">
        <f>ROUND(4211.64*G325,2)-O325</f>
        <v>3818410.19</v>
      </c>
      <c r="L325" s="49">
        <v>0</v>
      </c>
      <c r="M325" s="49">
        <v>0</v>
      </c>
      <c r="N325" s="49">
        <v>0</v>
      </c>
      <c r="O325" s="49">
        <v>70197.02</v>
      </c>
      <c r="P325" s="49">
        <v>0</v>
      </c>
      <c r="Q325" s="49">
        <v>0</v>
      </c>
      <c r="R325" s="49">
        <v>0</v>
      </c>
      <c r="S325" s="94">
        <f>H325</f>
        <v>3888607.21</v>
      </c>
      <c r="T325" s="66">
        <v>2017</v>
      </c>
      <c r="U325" s="66">
        <v>2017</v>
      </c>
      <c r="V325" s="48" t="s">
        <v>287</v>
      </c>
      <c r="W325" s="48" t="s">
        <v>16</v>
      </c>
    </row>
    <row r="326" spans="1:24" ht="15.75">
      <c r="A326" s="327" t="s">
        <v>263</v>
      </c>
      <c r="B326" s="333"/>
      <c r="C326" s="53"/>
      <c r="D326" s="53"/>
      <c r="E326" s="215"/>
      <c r="F326" s="65">
        <f t="shared" ref="F326:K326" si="24">SUM(F320:F325)</f>
        <v>4656.4000000000005</v>
      </c>
      <c r="G326" s="65">
        <f t="shared" si="24"/>
        <v>4342.6000000000004</v>
      </c>
      <c r="H326" s="52">
        <f t="shared" si="24"/>
        <v>12998272.32</v>
      </c>
      <c r="I326" s="52">
        <f t="shared" si="24"/>
        <v>61106.92</v>
      </c>
      <c r="J326" s="52">
        <f t="shared" si="24"/>
        <v>0</v>
      </c>
      <c r="K326" s="52">
        <f t="shared" si="24"/>
        <v>12603984.779999999</v>
      </c>
      <c r="L326" s="52">
        <f t="shared" ref="L326:S326" si="25">SUM(L320:L325)</f>
        <v>0</v>
      </c>
      <c r="M326" s="52">
        <f t="shared" si="25"/>
        <v>0</v>
      </c>
      <c r="N326" s="52">
        <f t="shared" si="25"/>
        <v>0</v>
      </c>
      <c r="O326" s="52">
        <f t="shared" si="25"/>
        <v>333180.62000000005</v>
      </c>
      <c r="P326" s="52">
        <f t="shared" si="25"/>
        <v>0</v>
      </c>
      <c r="Q326" s="52">
        <f t="shared" si="25"/>
        <v>0</v>
      </c>
      <c r="R326" s="52">
        <f t="shared" si="25"/>
        <v>0</v>
      </c>
      <c r="S326" s="96">
        <f t="shared" si="25"/>
        <v>12998272.32</v>
      </c>
      <c r="T326" s="22" t="s">
        <v>113</v>
      </c>
      <c r="U326" s="22" t="s">
        <v>113</v>
      </c>
    </row>
    <row r="327" spans="1:24" ht="15.75">
      <c r="A327" s="329" t="s">
        <v>72</v>
      </c>
      <c r="B327" s="330"/>
      <c r="C327" s="330"/>
      <c r="D327" s="330"/>
      <c r="E327" s="331"/>
      <c r="F327" s="330"/>
      <c r="G327" s="330"/>
      <c r="H327" s="330"/>
      <c r="I327" s="330"/>
      <c r="J327" s="330"/>
      <c r="K327" s="330"/>
      <c r="L327" s="330"/>
      <c r="M327" s="330"/>
      <c r="N327" s="330"/>
      <c r="O327" s="330"/>
      <c r="P327" s="330"/>
      <c r="Q327" s="330"/>
      <c r="R327" s="330"/>
      <c r="S327" s="332"/>
      <c r="T327" s="36"/>
      <c r="U327" s="36"/>
    </row>
    <row r="328" spans="1:24" s="24" customFormat="1" ht="15.75">
      <c r="A328" s="47">
        <f>A325+1</f>
        <v>283</v>
      </c>
      <c r="B328" s="48" t="s">
        <v>108</v>
      </c>
      <c r="C328" s="66" t="s">
        <v>56</v>
      </c>
      <c r="D328" s="66"/>
      <c r="E328" s="66"/>
      <c r="F328" s="410">
        <v>699.3</v>
      </c>
      <c r="G328" s="410">
        <v>635.1</v>
      </c>
      <c r="H328" s="50">
        <f>I328+J328+K328+L328+M328+N328+O328</f>
        <v>2674812.56</v>
      </c>
      <c r="I328" s="71">
        <v>0</v>
      </c>
      <c r="J328" s="71">
        <v>0</v>
      </c>
      <c r="K328" s="71">
        <f>ROUND(4211.64*G328,2)-O328</f>
        <v>2601223.04</v>
      </c>
      <c r="L328" s="71">
        <v>0</v>
      </c>
      <c r="M328" s="71">
        <v>0</v>
      </c>
      <c r="N328" s="71">
        <v>0</v>
      </c>
      <c r="O328" s="71">
        <v>73589.52</v>
      </c>
      <c r="P328" s="71">
        <v>0</v>
      </c>
      <c r="Q328" s="71">
        <v>0</v>
      </c>
      <c r="R328" s="71">
        <v>0</v>
      </c>
      <c r="S328" s="97">
        <f>H328</f>
        <v>2674812.56</v>
      </c>
      <c r="T328" s="66">
        <v>2017</v>
      </c>
      <c r="U328" s="66">
        <v>2017</v>
      </c>
      <c r="V328" s="67" t="s">
        <v>153</v>
      </c>
      <c r="W328" s="66" t="s">
        <v>16</v>
      </c>
    </row>
    <row r="329" spans="1:24" s="24" customFormat="1" ht="15.75">
      <c r="A329" s="47">
        <f t="shared" ref="A329:A337" si="26">A328+1</f>
        <v>284</v>
      </c>
      <c r="B329" s="48" t="s">
        <v>290</v>
      </c>
      <c r="C329" s="66">
        <v>1984</v>
      </c>
      <c r="D329" s="66"/>
      <c r="E329" s="66"/>
      <c r="F329" s="33">
        <v>4009.1</v>
      </c>
      <c r="G329" s="33">
        <v>3512.1</v>
      </c>
      <c r="H329" s="50">
        <f>I329+J329+K329+L329+M329+N329+O329</f>
        <v>3766551.65</v>
      </c>
      <c r="I329" s="71">
        <v>0</v>
      </c>
      <c r="J329" s="71">
        <v>0</v>
      </c>
      <c r="K329" s="71">
        <f>ROUND(1072.45*G329,2)-O329</f>
        <v>3667914.27</v>
      </c>
      <c r="L329" s="71">
        <v>0</v>
      </c>
      <c r="M329" s="71">
        <v>0</v>
      </c>
      <c r="N329" s="71">
        <v>0</v>
      </c>
      <c r="O329" s="71">
        <v>98637.38</v>
      </c>
      <c r="P329" s="71">
        <v>0</v>
      </c>
      <c r="Q329" s="71">
        <v>0</v>
      </c>
      <c r="R329" s="71">
        <v>0</v>
      </c>
      <c r="S329" s="97">
        <f>H329</f>
        <v>3766551.65</v>
      </c>
      <c r="T329" s="66">
        <v>2017</v>
      </c>
      <c r="U329" s="66">
        <v>2017</v>
      </c>
      <c r="V329" s="148" t="s">
        <v>144</v>
      </c>
      <c r="W329" s="147">
        <v>5</v>
      </c>
    </row>
    <row r="330" spans="1:24" s="24" customFormat="1" ht="15.75">
      <c r="A330" s="47">
        <f t="shared" si="26"/>
        <v>285</v>
      </c>
      <c r="B330" s="48" t="s">
        <v>291</v>
      </c>
      <c r="C330" s="283">
        <v>1960</v>
      </c>
      <c r="D330" s="283"/>
      <c r="E330" s="283"/>
      <c r="F330" s="187">
        <v>2536.1999999999998</v>
      </c>
      <c r="G330" s="187">
        <v>2009.4</v>
      </c>
      <c r="H330" s="50">
        <f>I330+J330+K330+L330+M330+N330+O330</f>
        <v>3667034.44</v>
      </c>
      <c r="I330" s="71">
        <v>0</v>
      </c>
      <c r="J330" s="71">
        <v>0</v>
      </c>
      <c r="K330" s="71">
        <f>ROUND(1824.94*G330,2)-O330</f>
        <v>3565930.86</v>
      </c>
      <c r="L330" s="71">
        <v>0</v>
      </c>
      <c r="M330" s="71">
        <v>0</v>
      </c>
      <c r="N330" s="71">
        <v>0</v>
      </c>
      <c r="O330" s="71">
        <v>101103.58</v>
      </c>
      <c r="P330" s="71">
        <v>0</v>
      </c>
      <c r="Q330" s="71">
        <v>0</v>
      </c>
      <c r="R330" s="71">
        <v>0</v>
      </c>
      <c r="S330" s="97">
        <f>H330</f>
        <v>3667034.44</v>
      </c>
      <c r="T330" s="66">
        <v>2017</v>
      </c>
      <c r="U330" s="66">
        <v>2017</v>
      </c>
      <c r="V330" s="148" t="s">
        <v>145</v>
      </c>
      <c r="W330" s="147">
        <v>3</v>
      </c>
    </row>
    <row r="331" spans="1:24" s="24" customFormat="1" ht="15.75">
      <c r="A331" s="47">
        <f t="shared" si="26"/>
        <v>286</v>
      </c>
      <c r="B331" s="48" t="s">
        <v>292</v>
      </c>
      <c r="C331" s="283">
        <v>1954</v>
      </c>
      <c r="D331" s="283"/>
      <c r="E331" s="283"/>
      <c r="F331" s="409">
        <v>2497.5</v>
      </c>
      <c r="G331" s="409">
        <v>2023.9</v>
      </c>
      <c r="H331" s="50">
        <f>I331+J331+K331+L331+M331+N331+O331</f>
        <v>6010375.8300000001</v>
      </c>
      <c r="I331" s="71">
        <v>0</v>
      </c>
      <c r="J331" s="71">
        <v>0</v>
      </c>
      <c r="K331" s="71">
        <f>ROUND(1824.94*G331,2)-129240.56</f>
        <v>3564255.51</v>
      </c>
      <c r="L331" s="71">
        <v>0</v>
      </c>
      <c r="M331" s="71">
        <f>ROUND(1144.76*G331,2)-81070.84</f>
        <v>2235808.92</v>
      </c>
      <c r="N331" s="71">
        <v>0</v>
      </c>
      <c r="O331" s="71">
        <v>210311.4</v>
      </c>
      <c r="P331" s="71">
        <v>0</v>
      </c>
      <c r="Q331" s="71">
        <v>0</v>
      </c>
      <c r="R331" s="71">
        <v>0</v>
      </c>
      <c r="S331" s="97">
        <f>H331</f>
        <v>6010375.8300000001</v>
      </c>
      <c r="T331" s="66">
        <v>2017</v>
      </c>
      <c r="U331" s="66">
        <v>2017</v>
      </c>
      <c r="V331" s="148" t="s">
        <v>145</v>
      </c>
      <c r="W331" s="147">
        <v>3</v>
      </c>
    </row>
    <row r="332" spans="1:24" s="24" customFormat="1" ht="15.75">
      <c r="A332" s="47">
        <f t="shared" si="26"/>
        <v>287</v>
      </c>
      <c r="B332" s="405" t="s">
        <v>515</v>
      </c>
      <c r="C332" s="406" t="s">
        <v>494</v>
      </c>
      <c r="D332" s="406"/>
      <c r="E332" s="406"/>
      <c r="F332" s="408">
        <v>2056.5</v>
      </c>
      <c r="G332" s="408">
        <v>1513.9</v>
      </c>
      <c r="H332" s="50">
        <f>I332+J332+K332+L332+M332+N332+O332</f>
        <v>1733052.16</v>
      </c>
      <c r="I332" s="71">
        <v>0</v>
      </c>
      <c r="J332" s="71">
        <v>0</v>
      </c>
      <c r="K332" s="71">
        <v>0</v>
      </c>
      <c r="L332" s="71">
        <v>0</v>
      </c>
      <c r="M332" s="71">
        <f>ROUND(1144.76*G332,2)-O332</f>
        <v>1630462.96</v>
      </c>
      <c r="N332" s="401"/>
      <c r="O332" s="401">
        <v>102589.2</v>
      </c>
      <c r="P332" s="401"/>
      <c r="Q332" s="401"/>
      <c r="R332" s="401"/>
      <c r="S332" s="97">
        <f>H332</f>
        <v>1733052.16</v>
      </c>
      <c r="T332" s="66">
        <v>2016</v>
      </c>
      <c r="U332" s="66">
        <v>2017</v>
      </c>
      <c r="V332" s="51" t="s">
        <v>145</v>
      </c>
      <c r="W332" s="284" t="s">
        <v>495</v>
      </c>
    </row>
    <row r="333" spans="1:24" s="24" customFormat="1" ht="15.75">
      <c r="A333" s="47">
        <f t="shared" si="26"/>
        <v>288</v>
      </c>
      <c r="B333" s="48" t="s">
        <v>289</v>
      </c>
      <c r="C333" s="47">
        <v>1971</v>
      </c>
      <c r="D333" s="23"/>
      <c r="E333" s="23"/>
      <c r="F333" s="187">
        <v>4274</v>
      </c>
      <c r="G333" s="187">
        <v>3283.8</v>
      </c>
      <c r="H333" s="50">
        <f>I333+J333+K333+L333+M333+N333+O333</f>
        <v>3468185.37</v>
      </c>
      <c r="I333" s="71">
        <v>0</v>
      </c>
      <c r="J333" s="71">
        <v>0</v>
      </c>
      <c r="K333" s="71">
        <f>ROUND(1056.15*G333,2)-O333</f>
        <v>3373058.49</v>
      </c>
      <c r="L333" s="71">
        <v>0</v>
      </c>
      <c r="M333" s="71">
        <v>0</v>
      </c>
      <c r="N333" s="71">
        <v>0</v>
      </c>
      <c r="O333" s="71">
        <v>95126.88</v>
      </c>
      <c r="P333" s="71">
        <v>0</v>
      </c>
      <c r="Q333" s="71">
        <v>0</v>
      </c>
      <c r="R333" s="71">
        <v>0</v>
      </c>
      <c r="S333" s="97">
        <f>H333</f>
        <v>3468185.37</v>
      </c>
      <c r="T333" s="66">
        <v>2017</v>
      </c>
      <c r="U333" s="66">
        <v>2017</v>
      </c>
      <c r="V333" s="148" t="s">
        <v>145</v>
      </c>
      <c r="W333" s="147">
        <v>5</v>
      </c>
    </row>
    <row r="334" spans="1:24" s="24" customFormat="1" ht="15.75">
      <c r="A334" s="47">
        <f t="shared" si="26"/>
        <v>289</v>
      </c>
      <c r="B334" s="48" t="s">
        <v>465</v>
      </c>
      <c r="C334" s="407">
        <v>1937</v>
      </c>
      <c r="D334" s="122"/>
      <c r="E334" s="122"/>
      <c r="F334" s="129">
        <v>2303.5</v>
      </c>
      <c r="G334" s="129">
        <v>2079.5</v>
      </c>
      <c r="H334" s="50">
        <f>I334+J334+K334+L334+M334+N334+O334</f>
        <v>8291195.25</v>
      </c>
      <c r="I334" s="71">
        <f>ROUND((290.35+727.06)*G334,2)-86764.97</f>
        <v>2028939.1300000001</v>
      </c>
      <c r="J334" s="71">
        <v>0</v>
      </c>
      <c r="K334" s="71">
        <f>ROUND(1824.94*G334,2)-155631.33</f>
        <v>3639331.4</v>
      </c>
      <c r="L334" s="71">
        <v>0</v>
      </c>
      <c r="M334" s="71">
        <f>ROUND(1144.76*G334,2)-97625.41</f>
        <v>2282903.0099999998</v>
      </c>
      <c r="N334" s="71">
        <v>0</v>
      </c>
      <c r="O334" s="71">
        <v>340021.71</v>
      </c>
      <c r="P334" s="71">
        <v>0</v>
      </c>
      <c r="Q334" s="71">
        <v>0</v>
      </c>
      <c r="R334" s="71">
        <v>0</v>
      </c>
      <c r="S334" s="97">
        <f>H334</f>
        <v>8291195.25</v>
      </c>
      <c r="T334" s="66">
        <v>2017</v>
      </c>
      <c r="U334" s="66">
        <v>2017</v>
      </c>
      <c r="V334" s="148" t="s">
        <v>145</v>
      </c>
      <c r="W334" s="147">
        <v>4</v>
      </c>
    </row>
    <row r="335" spans="1:24" s="24" customFormat="1" ht="15.75">
      <c r="A335" s="47">
        <f t="shared" si="26"/>
        <v>290</v>
      </c>
      <c r="B335" s="255" t="s">
        <v>288</v>
      </c>
      <c r="C335" s="195">
        <v>1951</v>
      </c>
      <c r="D335" s="47"/>
      <c r="E335" s="195"/>
      <c r="F335" s="386">
        <v>560.79999999999995</v>
      </c>
      <c r="G335" s="386">
        <v>516.6</v>
      </c>
      <c r="H335" s="50">
        <f>I335+J335+K335+L335+M335+N335+O335</f>
        <v>2175733.2200000002</v>
      </c>
      <c r="I335" s="71">
        <v>0</v>
      </c>
      <c r="J335" s="71">
        <v>0</v>
      </c>
      <c r="K335" s="71">
        <f>ROUND(4211.64*G335,2)-71682.64</f>
        <v>2104050.58</v>
      </c>
      <c r="L335" s="71">
        <v>0</v>
      </c>
      <c r="M335" s="71">
        <v>0</v>
      </c>
      <c r="N335" s="71">
        <v>0</v>
      </c>
      <c r="O335" s="71">
        <v>71682.64</v>
      </c>
      <c r="P335" s="71">
        <v>0</v>
      </c>
      <c r="Q335" s="71">
        <v>0</v>
      </c>
      <c r="R335" s="71">
        <v>0</v>
      </c>
      <c r="S335" s="97">
        <f>H335</f>
        <v>2175733.2200000002</v>
      </c>
      <c r="T335" s="66">
        <v>2017</v>
      </c>
      <c r="U335" s="66">
        <v>2017</v>
      </c>
      <c r="V335" s="411" t="s">
        <v>145</v>
      </c>
      <c r="W335" s="412">
        <v>2</v>
      </c>
    </row>
    <row r="336" spans="1:24" s="24" customFormat="1" ht="15.75">
      <c r="A336" s="47">
        <f t="shared" si="26"/>
        <v>291</v>
      </c>
      <c r="B336" s="51" t="s">
        <v>516</v>
      </c>
      <c r="C336" s="122">
        <v>1973</v>
      </c>
      <c r="D336" s="285"/>
      <c r="E336" s="285"/>
      <c r="F336" s="260">
        <v>991.3</v>
      </c>
      <c r="G336" s="260">
        <v>897.9</v>
      </c>
      <c r="H336" s="188">
        <f>I336+J336+K336+L336+M336+N336+O336</f>
        <v>948317.09</v>
      </c>
      <c r="I336" s="71">
        <v>0</v>
      </c>
      <c r="J336" s="71">
        <v>0</v>
      </c>
      <c r="K336" s="286">
        <f>ROUND(1056.15*G336,2)-O336</f>
        <v>891418.05999999994</v>
      </c>
      <c r="L336" s="401"/>
      <c r="M336" s="401"/>
      <c r="N336" s="188"/>
      <c r="O336" s="188">
        <v>56899.03</v>
      </c>
      <c r="P336" s="188"/>
      <c r="Q336" s="188"/>
      <c r="R336" s="188"/>
      <c r="S336" s="97">
        <f>H336</f>
        <v>948317.09</v>
      </c>
      <c r="T336" s="66">
        <v>2016</v>
      </c>
      <c r="U336" s="66">
        <v>2017</v>
      </c>
      <c r="V336" s="51" t="s">
        <v>145</v>
      </c>
      <c r="W336" s="287">
        <v>2</v>
      </c>
      <c r="X336" s="413" t="s">
        <v>155</v>
      </c>
    </row>
    <row r="337" spans="1:24" s="24" customFormat="1" ht="15.75">
      <c r="A337" s="47">
        <f t="shared" si="26"/>
        <v>292</v>
      </c>
      <c r="B337" s="67" t="s">
        <v>504</v>
      </c>
      <c r="C337" s="122">
        <v>1976</v>
      </c>
      <c r="D337" s="122"/>
      <c r="E337" s="122"/>
      <c r="F337" s="129">
        <v>4138.8999999999996</v>
      </c>
      <c r="G337" s="129">
        <v>3605.3</v>
      </c>
      <c r="H337" s="188">
        <f>I337+J337+K337+L337+M337+N337+O337</f>
        <v>5110080.1100000003</v>
      </c>
      <c r="I337" s="71">
        <f>ROUND((690.32+727.06)*G337,2)-O337</f>
        <v>4878421.33</v>
      </c>
      <c r="J337" s="71">
        <v>0</v>
      </c>
      <c r="K337" s="71">
        <v>0</v>
      </c>
      <c r="L337" s="189">
        <v>0</v>
      </c>
      <c r="M337" s="189">
        <v>0</v>
      </c>
      <c r="N337" s="189">
        <v>0</v>
      </c>
      <c r="O337" s="189">
        <v>231658.78</v>
      </c>
      <c r="P337" s="189">
        <v>0</v>
      </c>
      <c r="Q337" s="189">
        <v>0</v>
      </c>
      <c r="R337" s="189">
        <v>0</v>
      </c>
      <c r="S337" s="97">
        <f>H337</f>
        <v>5110080.1100000003</v>
      </c>
      <c r="T337" s="66">
        <v>2017</v>
      </c>
      <c r="U337" s="66">
        <v>2017</v>
      </c>
      <c r="V337" s="148" t="s">
        <v>145</v>
      </c>
      <c r="W337" s="147">
        <v>5</v>
      </c>
      <c r="X337" s="114"/>
    </row>
    <row r="338" spans="1:24" ht="15.75">
      <c r="A338" s="327" t="s">
        <v>263</v>
      </c>
      <c r="B338" s="333"/>
      <c r="C338" s="288"/>
      <c r="D338" s="47"/>
      <c r="E338" s="195"/>
      <c r="F338" s="65">
        <f>SUM(F328:F337)</f>
        <v>24067.1</v>
      </c>
      <c r="G338" s="65">
        <f>SUM(G328:G337)</f>
        <v>20077.5</v>
      </c>
      <c r="H338" s="46">
        <f t="shared" ref="H338:O338" si="27">SUM(H328:H337)</f>
        <v>37845337.68</v>
      </c>
      <c r="I338" s="46">
        <f t="shared" si="27"/>
        <v>6907360.46</v>
      </c>
      <c r="J338" s="46">
        <f t="shared" si="27"/>
        <v>0</v>
      </c>
      <c r="K338" s="46">
        <f t="shared" si="27"/>
        <v>23407182.209999997</v>
      </c>
      <c r="L338" s="46">
        <f t="shared" si="27"/>
        <v>0</v>
      </c>
      <c r="M338" s="46">
        <f t="shared" si="27"/>
        <v>6149174.8899999997</v>
      </c>
      <c r="N338" s="46">
        <f t="shared" si="27"/>
        <v>0</v>
      </c>
      <c r="O338" s="46">
        <f t="shared" si="27"/>
        <v>1381620.1199999999</v>
      </c>
      <c r="P338" s="46">
        <f>SUM(P328:P337)</f>
        <v>0</v>
      </c>
      <c r="Q338" s="46">
        <f>SUM(Q328:Q337)</f>
        <v>0</v>
      </c>
      <c r="R338" s="46">
        <f>SUM(R328:R337)</f>
        <v>0</v>
      </c>
      <c r="S338" s="46">
        <f>SUM(S328:S337)</f>
        <v>37845337.68</v>
      </c>
      <c r="T338" s="22" t="s">
        <v>113</v>
      </c>
      <c r="U338" s="22" t="s">
        <v>113</v>
      </c>
    </row>
    <row r="339" spans="1:24" ht="15.75">
      <c r="A339" s="327" t="s">
        <v>267</v>
      </c>
      <c r="B339" s="328"/>
      <c r="C339" s="121"/>
      <c r="D339" s="199"/>
      <c r="E339" s="199"/>
      <c r="F339" s="65">
        <f>F338+F326+F318</f>
        <v>37368.1</v>
      </c>
      <c r="G339" s="65">
        <f>G338+G326+G318</f>
        <v>31448.53</v>
      </c>
      <c r="H339" s="52">
        <f t="shared" ref="H339:O339" si="28">H338+H326+H318</f>
        <v>55619234.25</v>
      </c>
      <c r="I339" s="52">
        <f t="shared" si="28"/>
        <v>6968467.3799999999</v>
      </c>
      <c r="J339" s="52">
        <f t="shared" si="28"/>
        <v>0</v>
      </c>
      <c r="K339" s="52">
        <f t="shared" si="28"/>
        <v>39582631.459999993</v>
      </c>
      <c r="L339" s="52">
        <f t="shared" si="28"/>
        <v>0</v>
      </c>
      <c r="M339" s="52">
        <f t="shared" si="28"/>
        <v>7189238.8899999997</v>
      </c>
      <c r="N339" s="52">
        <f t="shared" si="28"/>
        <v>0</v>
      </c>
      <c r="O339" s="52">
        <f t="shared" si="28"/>
        <v>1878896.52</v>
      </c>
      <c r="P339" s="52">
        <f>P338+P326+P318</f>
        <v>0</v>
      </c>
      <c r="Q339" s="52">
        <f>Q338+Q326+Q318</f>
        <v>0</v>
      </c>
      <c r="R339" s="52">
        <f>R338+R326+R318</f>
        <v>0</v>
      </c>
      <c r="S339" s="96">
        <f>S338+S326+S318</f>
        <v>55619234.25</v>
      </c>
      <c r="T339" s="22" t="s">
        <v>113</v>
      </c>
      <c r="U339" s="22" t="s">
        <v>113</v>
      </c>
    </row>
    <row r="340" spans="1:24" ht="15.75">
      <c r="A340" s="329" t="s">
        <v>76</v>
      </c>
      <c r="B340" s="330"/>
      <c r="C340" s="330"/>
      <c r="D340" s="330"/>
      <c r="E340" s="331"/>
      <c r="F340" s="330"/>
      <c r="G340" s="330"/>
      <c r="H340" s="330"/>
      <c r="I340" s="330"/>
      <c r="J340" s="330"/>
      <c r="K340" s="330"/>
      <c r="L340" s="330"/>
      <c r="M340" s="330"/>
      <c r="N340" s="330"/>
      <c r="O340" s="330"/>
      <c r="P340" s="330"/>
      <c r="Q340" s="330"/>
      <c r="R340" s="330"/>
      <c r="S340" s="332"/>
      <c r="T340" s="23"/>
      <c r="U340" s="23"/>
    </row>
    <row r="341" spans="1:24" ht="15.75">
      <c r="A341" s="329" t="s">
        <v>109</v>
      </c>
      <c r="B341" s="330"/>
      <c r="C341" s="330"/>
      <c r="D341" s="330"/>
      <c r="E341" s="331"/>
      <c r="F341" s="330"/>
      <c r="G341" s="330"/>
      <c r="H341" s="330"/>
      <c r="I341" s="330"/>
      <c r="J341" s="330"/>
      <c r="K341" s="330"/>
      <c r="L341" s="330"/>
      <c r="M341" s="330"/>
      <c r="N341" s="330"/>
      <c r="O341" s="330"/>
      <c r="P341" s="330"/>
      <c r="Q341" s="330"/>
      <c r="R341" s="330"/>
      <c r="S341" s="332"/>
      <c r="T341" s="23"/>
      <c r="U341" s="23"/>
    </row>
    <row r="342" spans="1:24" ht="15.75">
      <c r="A342" s="55">
        <f>A337+1</f>
        <v>293</v>
      </c>
      <c r="B342" s="289" t="s">
        <v>293</v>
      </c>
      <c r="C342" s="290">
        <v>1972</v>
      </c>
      <c r="D342" s="291"/>
      <c r="E342" s="292"/>
      <c r="F342" s="293">
        <v>4990.3999999999996</v>
      </c>
      <c r="G342" s="293">
        <v>4554.3999999999996</v>
      </c>
      <c r="H342" s="50">
        <f>I342+J342+K342+L342+M342+N342+O342</f>
        <v>4810129.5599999996</v>
      </c>
      <c r="I342" s="71">
        <v>0</v>
      </c>
      <c r="J342" s="71">
        <v>0</v>
      </c>
      <c r="K342" s="294">
        <f>ROUND(1056.15*G342,2)-O342</f>
        <v>4688256.8</v>
      </c>
      <c r="L342" s="71">
        <v>0</v>
      </c>
      <c r="M342" s="71">
        <v>0</v>
      </c>
      <c r="N342" s="71">
        <v>0</v>
      </c>
      <c r="O342" s="71">
        <v>121872.76</v>
      </c>
      <c r="P342" s="71">
        <v>0</v>
      </c>
      <c r="Q342" s="71">
        <v>0</v>
      </c>
      <c r="R342" s="71">
        <v>0</v>
      </c>
      <c r="S342" s="97">
        <f>H342</f>
        <v>4810129.5599999996</v>
      </c>
      <c r="T342" s="66">
        <v>2017</v>
      </c>
      <c r="U342" s="66">
        <v>2017</v>
      </c>
      <c r="V342" s="289" t="s">
        <v>294</v>
      </c>
      <c r="W342" s="290">
        <v>5</v>
      </c>
    </row>
    <row r="343" spans="1:24" ht="15.75">
      <c r="A343" s="327" t="s">
        <v>263</v>
      </c>
      <c r="B343" s="333"/>
      <c r="C343" s="53"/>
      <c r="D343" s="53"/>
      <c r="E343" s="215"/>
      <c r="F343" s="54">
        <f t="shared" ref="F343:O343" si="29">F342</f>
        <v>4990.3999999999996</v>
      </c>
      <c r="G343" s="54">
        <f t="shared" si="29"/>
        <v>4554.3999999999996</v>
      </c>
      <c r="H343" s="52">
        <f t="shared" si="29"/>
        <v>4810129.5599999996</v>
      </c>
      <c r="I343" s="46">
        <f t="shared" si="29"/>
        <v>0</v>
      </c>
      <c r="J343" s="46">
        <f t="shared" si="29"/>
        <v>0</v>
      </c>
      <c r="K343" s="46">
        <f t="shared" si="29"/>
        <v>4688256.8</v>
      </c>
      <c r="L343" s="46">
        <f t="shared" si="29"/>
        <v>0</v>
      </c>
      <c r="M343" s="46">
        <f t="shared" si="29"/>
        <v>0</v>
      </c>
      <c r="N343" s="46">
        <f t="shared" si="29"/>
        <v>0</v>
      </c>
      <c r="O343" s="46">
        <f t="shared" si="29"/>
        <v>121872.76</v>
      </c>
      <c r="P343" s="46">
        <f>P342</f>
        <v>0</v>
      </c>
      <c r="Q343" s="46">
        <f>Q342</f>
        <v>0</v>
      </c>
      <c r="R343" s="46">
        <f>R342</f>
        <v>0</v>
      </c>
      <c r="S343" s="96">
        <f>S342</f>
        <v>4810129.5599999996</v>
      </c>
      <c r="T343" s="22" t="s">
        <v>113</v>
      </c>
      <c r="U343" s="22" t="s">
        <v>113</v>
      </c>
    </row>
    <row r="344" spans="1:24" ht="15.75">
      <c r="A344" s="329" t="s">
        <v>77</v>
      </c>
      <c r="B344" s="330"/>
      <c r="C344" s="330"/>
      <c r="D344" s="330"/>
      <c r="E344" s="331"/>
      <c r="F344" s="330"/>
      <c r="G344" s="330"/>
      <c r="H344" s="330"/>
      <c r="I344" s="330"/>
      <c r="J344" s="330"/>
      <c r="K344" s="330"/>
      <c r="L344" s="330"/>
      <c r="M344" s="330"/>
      <c r="N344" s="330"/>
      <c r="O344" s="330"/>
      <c r="P344" s="330"/>
      <c r="Q344" s="330"/>
      <c r="R344" s="330"/>
      <c r="S344" s="332"/>
      <c r="T344" s="23"/>
      <c r="U344" s="23"/>
    </row>
    <row r="345" spans="1:24" s="24" customFormat="1" ht="15.75">
      <c r="A345" s="47">
        <f>A342+1</f>
        <v>294</v>
      </c>
      <c r="B345" s="48" t="s">
        <v>386</v>
      </c>
      <c r="C345" s="47">
        <v>1962</v>
      </c>
      <c r="D345" s="47"/>
      <c r="E345" s="195"/>
      <c r="F345" s="62">
        <v>3803</v>
      </c>
      <c r="G345" s="32">
        <v>3734.4</v>
      </c>
      <c r="H345" s="50">
        <f>I345+J345+K345+L345+M345+N345+O345</f>
        <v>6815055.9400000004</v>
      </c>
      <c r="I345" s="49">
        <v>0</v>
      </c>
      <c r="J345" s="49">
        <v>0</v>
      </c>
      <c r="K345" s="71">
        <f>ROUND(1824.94*G345,2)-O345</f>
        <v>6691207.8600000003</v>
      </c>
      <c r="L345" s="49">
        <v>0</v>
      </c>
      <c r="M345" s="49">
        <v>0</v>
      </c>
      <c r="N345" s="49">
        <v>0</v>
      </c>
      <c r="O345" s="49">
        <v>123848.08</v>
      </c>
      <c r="P345" s="49">
        <v>0</v>
      </c>
      <c r="Q345" s="49">
        <v>0</v>
      </c>
      <c r="R345" s="49">
        <v>0</v>
      </c>
      <c r="S345" s="97">
        <f>H345</f>
        <v>6815055.9400000004</v>
      </c>
      <c r="T345" s="66">
        <v>2017</v>
      </c>
      <c r="U345" s="66">
        <v>2017</v>
      </c>
      <c r="V345" s="289" t="s">
        <v>294</v>
      </c>
      <c r="W345" s="290">
        <v>4</v>
      </c>
    </row>
    <row r="346" spans="1:24" s="24" customFormat="1" ht="15.75">
      <c r="A346" s="47">
        <f>A345+1</f>
        <v>295</v>
      </c>
      <c r="B346" s="48" t="s">
        <v>387</v>
      </c>
      <c r="C346" s="47">
        <v>1967</v>
      </c>
      <c r="D346" s="47"/>
      <c r="E346" s="195"/>
      <c r="F346" s="62">
        <v>369</v>
      </c>
      <c r="G346" s="32">
        <v>321</v>
      </c>
      <c r="H346" s="50">
        <f>I346+J346+K346+L346+M346+N346+O346</f>
        <v>1351936.44</v>
      </c>
      <c r="I346" s="49">
        <v>0</v>
      </c>
      <c r="J346" s="49">
        <v>0</v>
      </c>
      <c r="K346" s="71">
        <f>ROUND(4211.64*G346,2)-O346</f>
        <v>1282769.56</v>
      </c>
      <c r="L346" s="49">
        <v>0</v>
      </c>
      <c r="M346" s="49">
        <v>0</v>
      </c>
      <c r="N346" s="49">
        <v>0</v>
      </c>
      <c r="O346" s="49">
        <v>69166.880000000005</v>
      </c>
      <c r="P346" s="49">
        <v>0</v>
      </c>
      <c r="Q346" s="49">
        <v>0</v>
      </c>
      <c r="R346" s="49">
        <v>0</v>
      </c>
      <c r="S346" s="97">
        <f>H346</f>
        <v>1351936.44</v>
      </c>
      <c r="T346" s="66">
        <v>2017</v>
      </c>
      <c r="U346" s="66">
        <v>2017</v>
      </c>
      <c r="V346" s="289" t="s">
        <v>294</v>
      </c>
      <c r="W346" s="290">
        <v>2</v>
      </c>
    </row>
    <row r="347" spans="1:24" ht="15.75">
      <c r="A347" s="327" t="s">
        <v>263</v>
      </c>
      <c r="B347" s="333"/>
      <c r="C347" s="233"/>
      <c r="D347" s="47"/>
      <c r="E347" s="195"/>
      <c r="F347" s="65">
        <f t="shared" ref="F347:O347" si="30">SUM(F345:F346)</f>
        <v>4172</v>
      </c>
      <c r="G347" s="65">
        <f t="shared" si="30"/>
        <v>4055.4</v>
      </c>
      <c r="H347" s="52">
        <f t="shared" si="30"/>
        <v>8166992.3800000008</v>
      </c>
      <c r="I347" s="52">
        <f t="shared" si="30"/>
        <v>0</v>
      </c>
      <c r="J347" s="52">
        <f t="shared" si="30"/>
        <v>0</v>
      </c>
      <c r="K347" s="52">
        <f t="shared" si="30"/>
        <v>7973977.4199999999</v>
      </c>
      <c r="L347" s="52">
        <f t="shared" si="30"/>
        <v>0</v>
      </c>
      <c r="M347" s="52">
        <f t="shared" si="30"/>
        <v>0</v>
      </c>
      <c r="N347" s="52">
        <f t="shared" si="30"/>
        <v>0</v>
      </c>
      <c r="O347" s="52">
        <f t="shared" si="30"/>
        <v>193014.96000000002</v>
      </c>
      <c r="P347" s="52">
        <f>SUM(P345:P346)</f>
        <v>0</v>
      </c>
      <c r="Q347" s="52">
        <f>SUM(Q345:Q346)</f>
        <v>0</v>
      </c>
      <c r="R347" s="52">
        <f>SUM(R345:R346)</f>
        <v>0</v>
      </c>
      <c r="S347" s="96">
        <f>SUM(S345:S346)</f>
        <v>8166992.3800000008</v>
      </c>
      <c r="T347" s="22" t="s">
        <v>113</v>
      </c>
      <c r="U347" s="22" t="s">
        <v>113</v>
      </c>
    </row>
    <row r="348" spans="1:24" ht="15.75">
      <c r="A348" s="329" t="s">
        <v>78</v>
      </c>
      <c r="B348" s="330"/>
      <c r="C348" s="330"/>
      <c r="D348" s="330"/>
      <c r="E348" s="331"/>
      <c r="F348" s="330"/>
      <c r="G348" s="330"/>
      <c r="H348" s="330"/>
      <c r="I348" s="330"/>
      <c r="J348" s="330"/>
      <c r="K348" s="330"/>
      <c r="L348" s="330"/>
      <c r="M348" s="330"/>
      <c r="N348" s="330"/>
      <c r="O348" s="330"/>
      <c r="P348" s="330"/>
      <c r="Q348" s="330"/>
      <c r="R348" s="330"/>
      <c r="S348" s="332"/>
      <c r="T348" s="23"/>
      <c r="U348" s="23"/>
    </row>
    <row r="349" spans="1:24" s="24" customFormat="1" ht="15.75">
      <c r="A349" s="47">
        <f>A346+1</f>
        <v>296</v>
      </c>
      <c r="B349" s="48" t="s">
        <v>305</v>
      </c>
      <c r="C349" s="47">
        <v>1975</v>
      </c>
      <c r="D349" s="47"/>
      <c r="E349" s="47"/>
      <c r="F349" s="295">
        <v>2888.6</v>
      </c>
      <c r="G349" s="137">
        <v>2432.3000000000002</v>
      </c>
      <c r="H349" s="50">
        <f>I349+J349+K349+L349+M349+N349+O349</f>
        <v>2568873.65</v>
      </c>
      <c r="I349" s="320">
        <v>0</v>
      </c>
      <c r="J349" s="49">
        <v>0</v>
      </c>
      <c r="K349" s="71">
        <f>ROUND(1056.15*G349,2)-O349</f>
        <v>2414741.23</v>
      </c>
      <c r="L349" s="49">
        <v>0</v>
      </c>
      <c r="M349" s="71">
        <v>0</v>
      </c>
      <c r="N349" s="49">
        <v>0</v>
      </c>
      <c r="O349" s="49">
        <v>154132.42000000001</v>
      </c>
      <c r="P349" s="49">
        <v>0</v>
      </c>
      <c r="Q349" s="49">
        <v>0</v>
      </c>
      <c r="R349" s="49">
        <v>0</v>
      </c>
      <c r="S349" s="97">
        <f>H349</f>
        <v>2568873.65</v>
      </c>
      <c r="T349" s="66">
        <v>2017</v>
      </c>
      <c r="U349" s="66">
        <v>2017</v>
      </c>
      <c r="V349" s="141" t="s">
        <v>145</v>
      </c>
      <c r="W349" s="141">
        <v>5</v>
      </c>
    </row>
    <row r="350" spans="1:24" s="24" customFormat="1" ht="15.75">
      <c r="A350" s="47">
        <f>A349+1</f>
        <v>297</v>
      </c>
      <c r="B350" s="48" t="s">
        <v>302</v>
      </c>
      <c r="C350" s="47">
        <v>1969</v>
      </c>
      <c r="D350" s="47"/>
      <c r="E350" s="47"/>
      <c r="F350" s="137">
        <v>4364.8</v>
      </c>
      <c r="G350" s="137">
        <v>4030.2</v>
      </c>
      <c r="H350" s="50">
        <f>I350+J350+K350+L350+M350+N350+O350</f>
        <v>4613611.75</v>
      </c>
      <c r="I350" s="49">
        <v>0</v>
      </c>
      <c r="J350" s="49">
        <v>0</v>
      </c>
      <c r="K350" s="49">
        <v>0</v>
      </c>
      <c r="L350" s="49">
        <v>0</v>
      </c>
      <c r="M350" s="71">
        <f>ROUND(1144.76*G350,2)-O350</f>
        <v>4492740.8099999996</v>
      </c>
      <c r="N350" s="49">
        <v>0</v>
      </c>
      <c r="O350" s="49">
        <v>120870.94</v>
      </c>
      <c r="P350" s="49">
        <v>0</v>
      </c>
      <c r="Q350" s="49">
        <v>0</v>
      </c>
      <c r="R350" s="49">
        <v>0</v>
      </c>
      <c r="S350" s="97">
        <f>H350</f>
        <v>4613611.75</v>
      </c>
      <c r="T350" s="66">
        <v>2017</v>
      </c>
      <c r="U350" s="66">
        <v>2017</v>
      </c>
      <c r="V350" s="141" t="s">
        <v>145</v>
      </c>
      <c r="W350" s="141">
        <v>5</v>
      </c>
    </row>
    <row r="351" spans="1:24" s="24" customFormat="1" ht="15.75">
      <c r="A351" s="47">
        <f t="shared" ref="A351:A356" si="31">A350+1</f>
        <v>298</v>
      </c>
      <c r="B351" s="48" t="s">
        <v>301</v>
      </c>
      <c r="C351" s="47">
        <v>1956</v>
      </c>
      <c r="D351" s="47"/>
      <c r="E351" s="47"/>
      <c r="F351" s="137">
        <v>489.9</v>
      </c>
      <c r="G351" s="137">
        <v>448.5</v>
      </c>
      <c r="H351" s="50">
        <f>I351+J351+K351+L351+M351+N351+O351</f>
        <v>2642221.1500000004</v>
      </c>
      <c r="I351" s="414">
        <f>ROUND(332.83*G351,2)-7126.02</f>
        <v>142148.24000000002</v>
      </c>
      <c r="J351" s="49">
        <v>0</v>
      </c>
      <c r="K351" s="49">
        <f>ROUND(4211.64*G351,2)-90172.85</f>
        <v>1798747.69</v>
      </c>
      <c r="L351" s="49">
        <v>0</v>
      </c>
      <c r="M351" s="71">
        <f>ROUND(1346.77*G351,2)-28834.87</f>
        <v>575191.48</v>
      </c>
      <c r="N351" s="49">
        <v>0</v>
      </c>
      <c r="O351" s="49">
        <v>126133.74</v>
      </c>
      <c r="P351" s="49">
        <v>0</v>
      </c>
      <c r="Q351" s="49">
        <v>0</v>
      </c>
      <c r="R351" s="49">
        <v>0</v>
      </c>
      <c r="S351" s="97">
        <f>H351</f>
        <v>2642221.1500000004</v>
      </c>
      <c r="T351" s="66">
        <v>2017</v>
      </c>
      <c r="U351" s="66">
        <v>2017</v>
      </c>
      <c r="V351" s="141" t="s">
        <v>145</v>
      </c>
      <c r="W351" s="141">
        <v>2</v>
      </c>
    </row>
    <row r="352" spans="1:24" s="24" customFormat="1" ht="15.75">
      <c r="A352" s="47">
        <f t="shared" si="31"/>
        <v>299</v>
      </c>
      <c r="B352" s="48" t="s">
        <v>303</v>
      </c>
      <c r="C352" s="47">
        <v>1962</v>
      </c>
      <c r="D352" s="47"/>
      <c r="E352" s="47"/>
      <c r="F352" s="137">
        <v>1436.5</v>
      </c>
      <c r="G352" s="137">
        <v>1326</v>
      </c>
      <c r="H352" s="50">
        <f>I352+J352+K352+L352+M352+N352+O352</f>
        <v>1517951.76</v>
      </c>
      <c r="I352" s="49">
        <v>0</v>
      </c>
      <c r="J352" s="49">
        <v>0</v>
      </c>
      <c r="K352" s="49">
        <v>0</v>
      </c>
      <c r="L352" s="49">
        <v>0</v>
      </c>
      <c r="M352" s="71">
        <f>ROUND(1144.76*G352,2)-O352</f>
        <v>1438567.26</v>
      </c>
      <c r="N352" s="49">
        <v>0</v>
      </c>
      <c r="O352" s="49">
        <v>79384.5</v>
      </c>
      <c r="P352" s="49">
        <v>0</v>
      </c>
      <c r="Q352" s="49">
        <v>0</v>
      </c>
      <c r="R352" s="49">
        <v>0</v>
      </c>
      <c r="S352" s="97">
        <f>H352</f>
        <v>1517951.76</v>
      </c>
      <c r="T352" s="66">
        <v>2017</v>
      </c>
      <c r="U352" s="66">
        <v>2017</v>
      </c>
      <c r="V352" s="141" t="s">
        <v>145</v>
      </c>
      <c r="W352" s="141">
        <v>4</v>
      </c>
    </row>
    <row r="353" spans="1:23" s="24" customFormat="1" ht="15.75">
      <c r="A353" s="47">
        <f t="shared" si="31"/>
        <v>300</v>
      </c>
      <c r="B353" s="48" t="s">
        <v>304</v>
      </c>
      <c r="C353" s="47">
        <v>1963</v>
      </c>
      <c r="D353" s="47"/>
      <c r="E353" s="47"/>
      <c r="F353" s="137">
        <v>2192.1</v>
      </c>
      <c r="G353" s="137">
        <v>2025.7</v>
      </c>
      <c r="H353" s="50">
        <f>I353+J353+K353+L353+M353+N353+O353</f>
        <v>2318940.33</v>
      </c>
      <c r="I353" s="49">
        <v>0</v>
      </c>
      <c r="J353" s="49">
        <v>0</v>
      </c>
      <c r="K353" s="71">
        <v>0</v>
      </c>
      <c r="L353" s="49">
        <v>0</v>
      </c>
      <c r="M353" s="49">
        <f>ROUND(1144.76*G353,2)-O353</f>
        <v>2214699.13</v>
      </c>
      <c r="N353" s="49">
        <v>0</v>
      </c>
      <c r="O353" s="49">
        <v>104241.2</v>
      </c>
      <c r="P353" s="49">
        <v>0</v>
      </c>
      <c r="Q353" s="49">
        <v>0</v>
      </c>
      <c r="R353" s="49">
        <v>0</v>
      </c>
      <c r="S353" s="97">
        <f>H353</f>
        <v>2318940.33</v>
      </c>
      <c r="T353" s="66">
        <v>2017</v>
      </c>
      <c r="U353" s="66">
        <v>2017</v>
      </c>
      <c r="V353" s="141" t="s">
        <v>145</v>
      </c>
      <c r="W353" s="141">
        <v>4</v>
      </c>
    </row>
    <row r="354" spans="1:23" s="24" customFormat="1" ht="15.75">
      <c r="A354" s="47">
        <f t="shared" si="31"/>
        <v>301</v>
      </c>
      <c r="B354" s="48" t="s">
        <v>296</v>
      </c>
      <c r="C354" s="47">
        <v>1956</v>
      </c>
      <c r="D354" s="47"/>
      <c r="E354" s="47"/>
      <c r="F354" s="137">
        <v>498.8</v>
      </c>
      <c r="G354" s="137">
        <v>463.4</v>
      </c>
      <c r="H354" s="50">
        <f>I354+J354+K354+L354+M354+N354+O354</f>
        <v>1951673.98</v>
      </c>
      <c r="I354" s="49">
        <v>0</v>
      </c>
      <c r="J354" s="49">
        <v>0</v>
      </c>
      <c r="K354" s="71">
        <f>ROUND(4211.64*G354,2)-O354</f>
        <v>1887413.54</v>
      </c>
      <c r="L354" s="49">
        <v>0</v>
      </c>
      <c r="M354" s="49">
        <v>0</v>
      </c>
      <c r="N354" s="49">
        <v>0</v>
      </c>
      <c r="O354" s="49">
        <v>64260.44</v>
      </c>
      <c r="P354" s="49">
        <v>0</v>
      </c>
      <c r="Q354" s="49">
        <v>0</v>
      </c>
      <c r="R354" s="49">
        <v>0</v>
      </c>
      <c r="S354" s="97">
        <f>H354</f>
        <v>1951673.98</v>
      </c>
      <c r="T354" s="66">
        <v>2017</v>
      </c>
      <c r="U354" s="66">
        <v>2017</v>
      </c>
      <c r="V354" s="141" t="s">
        <v>145</v>
      </c>
      <c r="W354" s="141">
        <v>2</v>
      </c>
    </row>
    <row r="355" spans="1:23" s="24" customFormat="1" ht="15.75">
      <c r="A355" s="47">
        <f t="shared" si="31"/>
        <v>302</v>
      </c>
      <c r="B355" s="48" t="s">
        <v>297</v>
      </c>
      <c r="C355" s="47">
        <v>1960</v>
      </c>
      <c r="D355" s="47"/>
      <c r="E355" s="47"/>
      <c r="F355" s="137">
        <v>1437.1</v>
      </c>
      <c r="G355" s="137">
        <v>1267.3</v>
      </c>
      <c r="H355" s="50">
        <f>I355+J355+K355+L355+M355+N355+O355</f>
        <v>2312746.46</v>
      </c>
      <c r="I355" s="49">
        <v>0</v>
      </c>
      <c r="J355" s="49">
        <v>0</v>
      </c>
      <c r="K355" s="71">
        <f>ROUND(1824.94*G355,2)-O355</f>
        <v>2258136.06</v>
      </c>
      <c r="L355" s="49">
        <v>0</v>
      </c>
      <c r="M355" s="49">
        <v>0</v>
      </c>
      <c r="N355" s="49">
        <v>0</v>
      </c>
      <c r="O355" s="49">
        <v>54610.400000000001</v>
      </c>
      <c r="P355" s="49">
        <v>0</v>
      </c>
      <c r="Q355" s="49">
        <v>0</v>
      </c>
      <c r="R355" s="49">
        <v>0</v>
      </c>
      <c r="S355" s="97">
        <f>H355</f>
        <v>2312746.46</v>
      </c>
      <c r="T355" s="66">
        <v>2017</v>
      </c>
      <c r="U355" s="66">
        <v>2017</v>
      </c>
      <c r="V355" s="141" t="s">
        <v>145</v>
      </c>
      <c r="W355" s="141">
        <v>4</v>
      </c>
    </row>
    <row r="356" spans="1:23" s="24" customFormat="1" ht="15.75">
      <c r="A356" s="47">
        <f t="shared" si="31"/>
        <v>303</v>
      </c>
      <c r="B356" s="48" t="s">
        <v>295</v>
      </c>
      <c r="C356" s="47">
        <v>1956</v>
      </c>
      <c r="D356" s="47"/>
      <c r="E356" s="47"/>
      <c r="F356" s="137">
        <v>498.5</v>
      </c>
      <c r="G356" s="137">
        <v>461.8</v>
      </c>
      <c r="H356" s="50">
        <f>I356+J356+K356+L356+M356+N356+O356</f>
        <v>1944935.35</v>
      </c>
      <c r="I356" s="49">
        <v>0</v>
      </c>
      <c r="J356" s="49">
        <v>0</v>
      </c>
      <c r="K356" s="71">
        <f>ROUND(4211.64*G356,2)-O356</f>
        <v>1881982.35</v>
      </c>
      <c r="L356" s="49">
        <v>0</v>
      </c>
      <c r="M356" s="49">
        <v>0</v>
      </c>
      <c r="N356" s="49">
        <v>0</v>
      </c>
      <c r="O356" s="49">
        <v>62953</v>
      </c>
      <c r="P356" s="49">
        <v>0</v>
      </c>
      <c r="Q356" s="49">
        <v>0</v>
      </c>
      <c r="R356" s="49">
        <v>0</v>
      </c>
      <c r="S356" s="97">
        <f>H356</f>
        <v>1944935.35</v>
      </c>
      <c r="T356" s="66">
        <v>2017</v>
      </c>
      <c r="U356" s="66">
        <v>2017</v>
      </c>
      <c r="V356" s="141" t="s">
        <v>145</v>
      </c>
      <c r="W356" s="141">
        <v>2</v>
      </c>
    </row>
    <row r="357" spans="1:23" ht="15.75">
      <c r="A357" s="327" t="s">
        <v>263</v>
      </c>
      <c r="B357" s="333"/>
      <c r="C357" s="53"/>
      <c r="D357" s="53"/>
      <c r="E357" s="215"/>
      <c r="F357" s="96">
        <f t="shared" ref="F357:O357" si="32">SUM(F349:F356)</f>
        <v>13806.3</v>
      </c>
      <c r="G357" s="96">
        <f t="shared" si="32"/>
        <v>12455.199999999999</v>
      </c>
      <c r="H357" s="52">
        <f t="shared" si="32"/>
        <v>19870954.430000003</v>
      </c>
      <c r="I357" s="52">
        <f t="shared" si="32"/>
        <v>142148.24000000002</v>
      </c>
      <c r="J357" s="52">
        <f t="shared" si="32"/>
        <v>0</v>
      </c>
      <c r="K357" s="52">
        <f t="shared" si="32"/>
        <v>10241020.869999999</v>
      </c>
      <c r="L357" s="52">
        <f t="shared" si="32"/>
        <v>0</v>
      </c>
      <c r="M357" s="52">
        <f t="shared" si="32"/>
        <v>8721198.6799999997</v>
      </c>
      <c r="N357" s="52">
        <f t="shared" si="32"/>
        <v>0</v>
      </c>
      <c r="O357" s="52">
        <f t="shared" si="32"/>
        <v>766586.64</v>
      </c>
      <c r="P357" s="52">
        <f>SUM(P349:P356)</f>
        <v>0</v>
      </c>
      <c r="Q357" s="52">
        <f>SUM(Q349:Q356)</f>
        <v>0</v>
      </c>
      <c r="R357" s="52">
        <f>SUM(R349:R356)</f>
        <v>0</v>
      </c>
      <c r="S357" s="96">
        <f>SUM(S349:S356)</f>
        <v>19870954.430000003</v>
      </c>
      <c r="T357" s="22" t="s">
        <v>113</v>
      </c>
      <c r="U357" s="22" t="s">
        <v>113</v>
      </c>
    </row>
    <row r="358" spans="1:23" ht="15.75">
      <c r="A358" s="329" t="s">
        <v>110</v>
      </c>
      <c r="B358" s="330"/>
      <c r="C358" s="330"/>
      <c r="D358" s="330"/>
      <c r="E358" s="331"/>
      <c r="F358" s="330"/>
      <c r="G358" s="330"/>
      <c r="H358" s="330"/>
      <c r="I358" s="330"/>
      <c r="J358" s="330"/>
      <c r="K358" s="330"/>
      <c r="L358" s="330"/>
      <c r="M358" s="330"/>
      <c r="N358" s="330"/>
      <c r="O358" s="330"/>
      <c r="P358" s="330"/>
      <c r="Q358" s="330"/>
      <c r="R358" s="330"/>
      <c r="S358" s="332"/>
      <c r="T358" s="36"/>
      <c r="U358" s="36"/>
    </row>
    <row r="359" spans="1:23" ht="15.75">
      <c r="A359" s="230">
        <f>A356+1</f>
        <v>304</v>
      </c>
      <c r="B359" s="67" t="s">
        <v>362</v>
      </c>
      <c r="C359" s="66">
        <v>1975</v>
      </c>
      <c r="D359" s="66"/>
      <c r="E359" s="66"/>
      <c r="F359" s="296">
        <v>859.7</v>
      </c>
      <c r="G359" s="296">
        <v>662.2</v>
      </c>
      <c r="H359" s="50">
        <f>I359+J359+K359+L359+M359+N359+O359</f>
        <v>2788948.01</v>
      </c>
      <c r="I359" s="49">
        <v>0</v>
      </c>
      <c r="J359" s="49">
        <v>0</v>
      </c>
      <c r="K359" s="71">
        <f>ROUND(4211.64*G359,2)-O359</f>
        <v>2715024.55</v>
      </c>
      <c r="L359" s="49">
        <v>0</v>
      </c>
      <c r="M359" s="49">
        <v>0</v>
      </c>
      <c r="N359" s="49">
        <v>0</v>
      </c>
      <c r="O359" s="49">
        <v>73923.460000000006</v>
      </c>
      <c r="P359" s="49">
        <v>0</v>
      </c>
      <c r="Q359" s="49">
        <v>0</v>
      </c>
      <c r="R359" s="49">
        <v>0</v>
      </c>
      <c r="S359" s="97">
        <f>H359</f>
        <v>2788948.01</v>
      </c>
      <c r="T359" s="66">
        <v>2017</v>
      </c>
      <c r="U359" s="66">
        <v>2017</v>
      </c>
      <c r="V359" s="67" t="s">
        <v>364</v>
      </c>
      <c r="W359" s="66">
        <v>2</v>
      </c>
    </row>
    <row r="360" spans="1:23" ht="15.75">
      <c r="A360" s="230">
        <f>A359+1</f>
        <v>305</v>
      </c>
      <c r="B360" s="67" t="s">
        <v>363</v>
      </c>
      <c r="C360" s="66">
        <v>1966</v>
      </c>
      <c r="D360" s="66"/>
      <c r="E360" s="66"/>
      <c r="F360" s="296">
        <v>1853.2</v>
      </c>
      <c r="G360" s="296">
        <v>1280.4000000000001</v>
      </c>
      <c r="H360" s="50">
        <f>I360+J360+K360+L360+M360+N360+O360</f>
        <v>1352294.46</v>
      </c>
      <c r="I360" s="49">
        <v>0</v>
      </c>
      <c r="J360" s="49">
        <v>0</v>
      </c>
      <c r="K360" s="71">
        <f>ROUND(1056.15*G360,2)-O360</f>
        <v>1291385.22</v>
      </c>
      <c r="L360" s="49">
        <v>0</v>
      </c>
      <c r="M360" s="49">
        <v>0</v>
      </c>
      <c r="N360" s="49">
        <v>0</v>
      </c>
      <c r="O360" s="49">
        <v>60909.24</v>
      </c>
      <c r="P360" s="49">
        <v>0</v>
      </c>
      <c r="Q360" s="49">
        <v>0</v>
      </c>
      <c r="R360" s="49">
        <v>0</v>
      </c>
      <c r="S360" s="97">
        <f>H360</f>
        <v>1352294.46</v>
      </c>
      <c r="T360" s="66">
        <v>2017</v>
      </c>
      <c r="U360" s="66">
        <v>2017</v>
      </c>
      <c r="V360" s="67" t="s">
        <v>364</v>
      </c>
      <c r="W360" s="66">
        <v>4</v>
      </c>
    </row>
    <row r="361" spans="1:23" ht="15.75">
      <c r="A361" s="327" t="s">
        <v>263</v>
      </c>
      <c r="B361" s="333"/>
      <c r="C361" s="53"/>
      <c r="D361" s="53"/>
      <c r="E361" s="215"/>
      <c r="F361" s="96">
        <f t="shared" ref="F361:O361" si="33">SUM(F359:F360)</f>
        <v>2712.9</v>
      </c>
      <c r="G361" s="96">
        <f t="shared" si="33"/>
        <v>1942.6000000000001</v>
      </c>
      <c r="H361" s="52">
        <f t="shared" si="33"/>
        <v>4141242.4699999997</v>
      </c>
      <c r="I361" s="52">
        <f t="shared" si="33"/>
        <v>0</v>
      </c>
      <c r="J361" s="52">
        <f t="shared" si="33"/>
        <v>0</v>
      </c>
      <c r="K361" s="52">
        <f t="shared" si="33"/>
        <v>4006409.7699999996</v>
      </c>
      <c r="L361" s="52">
        <f t="shared" si="33"/>
        <v>0</v>
      </c>
      <c r="M361" s="52">
        <f t="shared" si="33"/>
        <v>0</v>
      </c>
      <c r="N361" s="52">
        <f t="shared" si="33"/>
        <v>0</v>
      </c>
      <c r="O361" s="52">
        <f t="shared" si="33"/>
        <v>134832.70000000001</v>
      </c>
      <c r="P361" s="52">
        <f>SUM(P359:P360)</f>
        <v>0</v>
      </c>
      <c r="Q361" s="52">
        <f>SUM(Q359:Q360)</f>
        <v>0</v>
      </c>
      <c r="R361" s="52">
        <f>SUM(R359:R360)</f>
        <v>0</v>
      </c>
      <c r="S361" s="96">
        <f>SUM(S359:S360)</f>
        <v>4141242.4699999997</v>
      </c>
      <c r="T361" s="22" t="s">
        <v>113</v>
      </c>
      <c r="U361" s="22" t="s">
        <v>113</v>
      </c>
    </row>
    <row r="362" spans="1:23" ht="15.75">
      <c r="A362" s="329" t="s">
        <v>111</v>
      </c>
      <c r="B362" s="330"/>
      <c r="C362" s="330"/>
      <c r="D362" s="330"/>
      <c r="E362" s="331"/>
      <c r="F362" s="330"/>
      <c r="G362" s="330"/>
      <c r="H362" s="330"/>
      <c r="I362" s="330"/>
      <c r="J362" s="330"/>
      <c r="K362" s="330"/>
      <c r="L362" s="330"/>
      <c r="M362" s="330"/>
      <c r="N362" s="330"/>
      <c r="O362" s="330"/>
      <c r="P362" s="330"/>
      <c r="Q362" s="330"/>
      <c r="R362" s="330"/>
      <c r="S362" s="332"/>
      <c r="T362" s="36"/>
      <c r="U362" s="36"/>
    </row>
    <row r="363" spans="1:23" ht="15.75">
      <c r="A363" s="57">
        <f>A360+1</f>
        <v>306</v>
      </c>
      <c r="B363" s="297" t="s">
        <v>112</v>
      </c>
      <c r="C363" s="66">
        <v>1980</v>
      </c>
      <c r="D363" s="66"/>
      <c r="E363" s="66"/>
      <c r="F363" s="58">
        <v>3886.7</v>
      </c>
      <c r="G363" s="124">
        <v>2929.4</v>
      </c>
      <c r="H363" s="50">
        <f>I363+J363+K363+L363+M363+N363+O363</f>
        <v>1412029.39</v>
      </c>
      <c r="I363" s="59">
        <f>ROUND((191.67+290.35)*G363,2)-O363</f>
        <v>1327307.6299999999</v>
      </c>
      <c r="J363" s="49">
        <v>0</v>
      </c>
      <c r="K363" s="49">
        <v>0</v>
      </c>
      <c r="L363" s="49">
        <v>0</v>
      </c>
      <c r="M363" s="49">
        <v>0</v>
      </c>
      <c r="N363" s="49">
        <v>0</v>
      </c>
      <c r="O363" s="49">
        <v>84721.76</v>
      </c>
      <c r="P363" s="49">
        <v>0</v>
      </c>
      <c r="Q363" s="49">
        <v>0</v>
      </c>
      <c r="R363" s="49">
        <v>0</v>
      </c>
      <c r="S363" s="97">
        <f>H363</f>
        <v>1412029.39</v>
      </c>
      <c r="T363" s="66">
        <v>2017</v>
      </c>
      <c r="U363" s="66">
        <v>2017</v>
      </c>
      <c r="V363" s="297" t="s">
        <v>145</v>
      </c>
      <c r="W363" s="55">
        <v>5</v>
      </c>
    </row>
    <row r="364" spans="1:23" ht="15.75">
      <c r="A364" s="57">
        <f>A363+1</f>
        <v>307</v>
      </c>
      <c r="B364" s="297" t="s">
        <v>300</v>
      </c>
      <c r="C364" s="66">
        <v>1981</v>
      </c>
      <c r="D364" s="66"/>
      <c r="E364" s="66"/>
      <c r="F364" s="58">
        <v>7263.7</v>
      </c>
      <c r="G364" s="124">
        <v>6213.3</v>
      </c>
      <c r="H364" s="50">
        <f>I364+J364+K364+L364+M364+N364+O364</f>
        <v>3037801.66</v>
      </c>
      <c r="I364" s="71">
        <v>0</v>
      </c>
      <c r="J364" s="49">
        <v>3037801.66</v>
      </c>
      <c r="K364" s="49">
        <v>0</v>
      </c>
      <c r="L364" s="49">
        <v>0</v>
      </c>
      <c r="M364" s="49">
        <v>0</v>
      </c>
      <c r="N364" s="49">
        <v>0</v>
      </c>
      <c r="O364" s="49">
        <v>0</v>
      </c>
      <c r="P364" s="49">
        <v>0</v>
      </c>
      <c r="Q364" s="49">
        <v>0</v>
      </c>
      <c r="R364" s="49">
        <v>0</v>
      </c>
      <c r="S364" s="97">
        <f>H364</f>
        <v>3037801.66</v>
      </c>
      <c r="T364" s="66">
        <v>2017</v>
      </c>
      <c r="U364" s="66">
        <v>2017</v>
      </c>
      <c r="V364" s="297" t="s">
        <v>144</v>
      </c>
      <c r="W364" s="55">
        <v>9</v>
      </c>
    </row>
    <row r="365" spans="1:23" ht="15.75">
      <c r="A365" s="57">
        <f>A364+1</f>
        <v>308</v>
      </c>
      <c r="B365" s="297" t="s">
        <v>306</v>
      </c>
      <c r="C365" s="66">
        <v>1983</v>
      </c>
      <c r="D365" s="66"/>
      <c r="E365" s="66"/>
      <c r="F365" s="125">
        <v>4395.7</v>
      </c>
      <c r="G365" s="126">
        <v>3799.3</v>
      </c>
      <c r="H365" s="50">
        <f>I365+J365+K365+L365+M365+N365+O365</f>
        <v>2031143.77</v>
      </c>
      <c r="I365" s="59">
        <f>ROUND((229.94+304.67)*G365,2)-O365</f>
        <v>1909275.1400000001</v>
      </c>
      <c r="J365" s="49">
        <v>0</v>
      </c>
      <c r="K365" s="49">
        <v>0</v>
      </c>
      <c r="L365" s="49">
        <v>0</v>
      </c>
      <c r="M365" s="49">
        <v>0</v>
      </c>
      <c r="N365" s="49">
        <v>0</v>
      </c>
      <c r="O365" s="49">
        <v>121868.63</v>
      </c>
      <c r="P365" s="49">
        <v>0</v>
      </c>
      <c r="Q365" s="49">
        <v>0</v>
      </c>
      <c r="R365" s="49">
        <v>0</v>
      </c>
      <c r="S365" s="97">
        <f>H365</f>
        <v>2031143.77</v>
      </c>
      <c r="T365" s="66">
        <v>2017</v>
      </c>
      <c r="U365" s="66">
        <v>2017</v>
      </c>
      <c r="V365" s="297" t="s">
        <v>144</v>
      </c>
      <c r="W365" s="55">
        <v>9</v>
      </c>
    </row>
    <row r="366" spans="1:23" ht="15.75">
      <c r="A366" s="57">
        <f>A365+1</f>
        <v>309</v>
      </c>
      <c r="B366" s="297" t="s">
        <v>298</v>
      </c>
      <c r="C366" s="66">
        <v>1958</v>
      </c>
      <c r="D366" s="66"/>
      <c r="E366" s="66"/>
      <c r="F366" s="58">
        <v>694.3</v>
      </c>
      <c r="G366" s="124">
        <v>454.7</v>
      </c>
      <c r="H366" s="50">
        <f>I366+J366+K366+L366+M366+N366+O366</f>
        <v>225599.41</v>
      </c>
      <c r="I366" s="415">
        <f>ROUND((197.29+298.86)*G366,2)-O366</f>
        <v>212063.45</v>
      </c>
      <c r="J366" s="49">
        <v>0</v>
      </c>
      <c r="K366" s="49">
        <v>0</v>
      </c>
      <c r="L366" s="49">
        <v>0</v>
      </c>
      <c r="M366" s="49">
        <v>0</v>
      </c>
      <c r="N366" s="49">
        <v>0</v>
      </c>
      <c r="O366" s="49">
        <v>13535.96</v>
      </c>
      <c r="P366" s="49">
        <v>0</v>
      </c>
      <c r="Q366" s="49">
        <v>0</v>
      </c>
      <c r="R366" s="49">
        <v>0</v>
      </c>
      <c r="S366" s="97">
        <f>H366</f>
        <v>225599.41</v>
      </c>
      <c r="T366" s="66">
        <v>2017</v>
      </c>
      <c r="U366" s="66">
        <v>2017</v>
      </c>
      <c r="V366" s="297" t="s">
        <v>145</v>
      </c>
      <c r="W366" s="57">
        <v>2</v>
      </c>
    </row>
    <row r="367" spans="1:23" ht="15.75">
      <c r="A367" s="57">
        <f>A366+1</f>
        <v>310</v>
      </c>
      <c r="B367" s="297" t="s">
        <v>299</v>
      </c>
      <c r="C367" s="66">
        <v>1963</v>
      </c>
      <c r="D367" s="66"/>
      <c r="E367" s="66"/>
      <c r="F367" s="58">
        <v>975.6</v>
      </c>
      <c r="G367" s="124">
        <v>636.6</v>
      </c>
      <c r="H367" s="50">
        <f>I367+J367+K367+L367+M367+N367+O367</f>
        <v>306853.93</v>
      </c>
      <c r="I367" s="59">
        <f>ROUND((191.67+290.35)*G367,2)-O367</f>
        <v>288442.69</v>
      </c>
      <c r="J367" s="49">
        <v>0</v>
      </c>
      <c r="K367" s="49">
        <v>0</v>
      </c>
      <c r="L367" s="49">
        <v>0</v>
      </c>
      <c r="M367" s="49">
        <v>0</v>
      </c>
      <c r="N367" s="49">
        <v>0</v>
      </c>
      <c r="O367" s="49">
        <v>18411.240000000002</v>
      </c>
      <c r="P367" s="49">
        <v>0</v>
      </c>
      <c r="Q367" s="49">
        <v>0</v>
      </c>
      <c r="R367" s="49">
        <v>0</v>
      </c>
      <c r="S367" s="97">
        <f>H367</f>
        <v>306853.93</v>
      </c>
      <c r="T367" s="66">
        <v>2017</v>
      </c>
      <c r="U367" s="66">
        <v>2017</v>
      </c>
      <c r="V367" s="297" t="s">
        <v>145</v>
      </c>
      <c r="W367" s="57">
        <v>3</v>
      </c>
    </row>
    <row r="368" spans="1:23" ht="15.75">
      <c r="A368" s="57">
        <f>A367+1</f>
        <v>311</v>
      </c>
      <c r="B368" s="297" t="s">
        <v>307</v>
      </c>
      <c r="C368" s="66">
        <v>1992</v>
      </c>
      <c r="D368" s="66"/>
      <c r="E368" s="66"/>
      <c r="F368" s="60">
        <v>5629.58</v>
      </c>
      <c r="G368" s="124">
        <v>4757</v>
      </c>
      <c r="H368" s="50">
        <f>I368+J368+K368+L368+M368+N368+O368</f>
        <v>2543139.77</v>
      </c>
      <c r="I368" s="59">
        <f>ROUND((229.94+304.67)*G368,2)-O368</f>
        <v>2390551.38</v>
      </c>
      <c r="J368" s="49">
        <v>0</v>
      </c>
      <c r="K368" s="49">
        <v>0</v>
      </c>
      <c r="L368" s="49">
        <v>0</v>
      </c>
      <c r="M368" s="49">
        <v>0</v>
      </c>
      <c r="N368" s="49">
        <v>0</v>
      </c>
      <c r="O368" s="49">
        <v>152588.39000000001</v>
      </c>
      <c r="P368" s="49">
        <v>0</v>
      </c>
      <c r="Q368" s="49">
        <v>0</v>
      </c>
      <c r="R368" s="49">
        <v>0</v>
      </c>
      <c r="S368" s="97">
        <f>H368</f>
        <v>2543139.77</v>
      </c>
      <c r="T368" s="66">
        <v>2017</v>
      </c>
      <c r="U368" s="66">
        <v>2017</v>
      </c>
      <c r="V368" s="297" t="s">
        <v>144</v>
      </c>
      <c r="W368" s="55">
        <v>9</v>
      </c>
    </row>
    <row r="369" spans="1:25" ht="15.75">
      <c r="A369" s="327" t="s">
        <v>263</v>
      </c>
      <c r="B369" s="333"/>
      <c r="C369" s="53"/>
      <c r="D369" s="53"/>
      <c r="E369" s="215"/>
      <c r="F369" s="96">
        <f t="shared" ref="F369:O369" si="34">SUM(F363:F368)</f>
        <v>22845.579999999994</v>
      </c>
      <c r="G369" s="65">
        <f t="shared" si="34"/>
        <v>18790.300000000003</v>
      </c>
      <c r="H369" s="52">
        <f t="shared" si="34"/>
        <v>9556567.9299999997</v>
      </c>
      <c r="I369" s="46">
        <f t="shared" si="34"/>
        <v>6127640.29</v>
      </c>
      <c r="J369" s="46">
        <f t="shared" si="34"/>
        <v>3037801.66</v>
      </c>
      <c r="K369" s="46">
        <f t="shared" si="34"/>
        <v>0</v>
      </c>
      <c r="L369" s="46">
        <f t="shared" si="34"/>
        <v>0</v>
      </c>
      <c r="M369" s="46">
        <f t="shared" si="34"/>
        <v>0</v>
      </c>
      <c r="N369" s="46">
        <f t="shared" si="34"/>
        <v>0</v>
      </c>
      <c r="O369" s="46">
        <f t="shared" si="34"/>
        <v>391125.98</v>
      </c>
      <c r="P369" s="46">
        <f>SUM(P363:P368)</f>
        <v>0</v>
      </c>
      <c r="Q369" s="46">
        <f>SUM(Q363:Q368)</f>
        <v>0</v>
      </c>
      <c r="R369" s="46">
        <f>SUM(R363:R368)</f>
        <v>0</v>
      </c>
      <c r="S369" s="96">
        <f>SUM(S363:S368)</f>
        <v>9556567.9299999997</v>
      </c>
      <c r="T369" s="22" t="s">
        <v>113</v>
      </c>
      <c r="U369" s="22" t="s">
        <v>113</v>
      </c>
    </row>
    <row r="370" spans="1:25" ht="15.75">
      <c r="A370" s="329" t="s">
        <v>79</v>
      </c>
      <c r="B370" s="330"/>
      <c r="C370" s="330"/>
      <c r="D370" s="330"/>
      <c r="E370" s="331"/>
      <c r="F370" s="330"/>
      <c r="G370" s="330"/>
      <c r="H370" s="330"/>
      <c r="I370" s="330"/>
      <c r="J370" s="330"/>
      <c r="K370" s="330"/>
      <c r="L370" s="330"/>
      <c r="M370" s="330"/>
      <c r="N370" s="330"/>
      <c r="O370" s="330"/>
      <c r="P370" s="330"/>
      <c r="Q370" s="330"/>
      <c r="R370" s="330"/>
      <c r="S370" s="332"/>
      <c r="T370" s="23"/>
      <c r="U370" s="23"/>
    </row>
    <row r="371" spans="1:25" ht="15.75">
      <c r="A371" s="47">
        <f>A368+1</f>
        <v>312</v>
      </c>
      <c r="B371" s="298" t="s">
        <v>354</v>
      </c>
      <c r="C371" s="299">
        <v>1970</v>
      </c>
      <c r="D371" s="299"/>
      <c r="E371" s="299"/>
      <c r="F371" s="300">
        <v>4912.3999999999996</v>
      </c>
      <c r="G371" s="300">
        <v>4525.8999999999996</v>
      </c>
      <c r="H371" s="50">
        <f>I371+J371+K371+L371+M371+N371+O371</f>
        <v>4780029.29</v>
      </c>
      <c r="I371" s="49">
        <v>0</v>
      </c>
      <c r="J371" s="71">
        <v>0</v>
      </c>
      <c r="K371" s="49">
        <f>ROUND(1056.15*G371,2)-O371</f>
        <v>4658838.57</v>
      </c>
      <c r="L371" s="49">
        <v>0</v>
      </c>
      <c r="M371" s="49">
        <v>0</v>
      </c>
      <c r="N371" s="49">
        <v>0</v>
      </c>
      <c r="O371" s="49">
        <v>121190.72</v>
      </c>
      <c r="P371" s="49">
        <v>0</v>
      </c>
      <c r="Q371" s="49">
        <v>0</v>
      </c>
      <c r="R371" s="49">
        <v>0</v>
      </c>
      <c r="S371" s="97">
        <f>H371</f>
        <v>4780029.29</v>
      </c>
      <c r="T371" s="66">
        <v>2017</v>
      </c>
      <c r="U371" s="66">
        <v>2017</v>
      </c>
      <c r="V371" s="298" t="s">
        <v>145</v>
      </c>
      <c r="W371" s="301">
        <v>5</v>
      </c>
    </row>
    <row r="372" spans="1:25" ht="15.75">
      <c r="A372" s="47">
        <f>A371+1</f>
        <v>313</v>
      </c>
      <c r="B372" s="298" t="s">
        <v>352</v>
      </c>
      <c r="C372" s="299">
        <v>1952</v>
      </c>
      <c r="D372" s="299"/>
      <c r="E372" s="299"/>
      <c r="F372" s="300">
        <v>448.6</v>
      </c>
      <c r="G372" s="300">
        <v>402.8</v>
      </c>
      <c r="H372" s="50">
        <f>I372+J372+K372+L372+M372+N372+O372</f>
        <v>1696448.59</v>
      </c>
      <c r="I372" s="49">
        <v>0</v>
      </c>
      <c r="J372" s="49">
        <v>0</v>
      </c>
      <c r="K372" s="71">
        <f>ROUND(4211.64*G372,2)-O372</f>
        <v>1624579.51</v>
      </c>
      <c r="L372" s="49">
        <v>0</v>
      </c>
      <c r="M372" s="49">
        <v>0</v>
      </c>
      <c r="N372" s="49">
        <v>0</v>
      </c>
      <c r="O372" s="49">
        <v>71869.08</v>
      </c>
      <c r="P372" s="49">
        <v>0</v>
      </c>
      <c r="Q372" s="49">
        <v>0</v>
      </c>
      <c r="R372" s="49">
        <v>0</v>
      </c>
      <c r="S372" s="97">
        <f>H372</f>
        <v>1696448.59</v>
      </c>
      <c r="T372" s="66">
        <v>2017</v>
      </c>
      <c r="U372" s="66">
        <v>2017</v>
      </c>
      <c r="V372" s="298" t="s">
        <v>355</v>
      </c>
      <c r="W372" s="301">
        <v>2</v>
      </c>
    </row>
    <row r="373" spans="1:25" ht="15.75">
      <c r="A373" s="47">
        <f>A372+1</f>
        <v>314</v>
      </c>
      <c r="B373" s="298" t="s">
        <v>351</v>
      </c>
      <c r="C373" s="299">
        <v>1955</v>
      </c>
      <c r="D373" s="299"/>
      <c r="E373" s="299"/>
      <c r="F373" s="300">
        <v>686.7</v>
      </c>
      <c r="G373" s="300">
        <v>607.4</v>
      </c>
      <c r="H373" s="50">
        <f>I373+J373+K373+L373+M373+N373+O373</f>
        <v>2558150.14</v>
      </c>
      <c r="I373" s="49">
        <v>0</v>
      </c>
      <c r="J373" s="49">
        <v>0</v>
      </c>
      <c r="K373" s="71">
        <f>ROUND(4211.64*G373,2)-O373</f>
        <v>2486689.3400000003</v>
      </c>
      <c r="L373" s="49">
        <v>0</v>
      </c>
      <c r="M373" s="49">
        <v>0</v>
      </c>
      <c r="N373" s="49">
        <v>0</v>
      </c>
      <c r="O373" s="49">
        <v>71460.800000000003</v>
      </c>
      <c r="P373" s="49">
        <v>0</v>
      </c>
      <c r="Q373" s="49">
        <v>0</v>
      </c>
      <c r="R373" s="49">
        <v>0</v>
      </c>
      <c r="S373" s="97">
        <f>H373</f>
        <v>2558150.14</v>
      </c>
      <c r="T373" s="66">
        <v>2017</v>
      </c>
      <c r="U373" s="66">
        <v>2017</v>
      </c>
      <c r="V373" s="298" t="s">
        <v>145</v>
      </c>
      <c r="W373" s="301">
        <v>2</v>
      </c>
    </row>
    <row r="374" spans="1:25" ht="15.75">
      <c r="A374" s="47">
        <f>A373+1</f>
        <v>315</v>
      </c>
      <c r="B374" s="298" t="s">
        <v>350</v>
      </c>
      <c r="C374" s="299">
        <v>1985</v>
      </c>
      <c r="D374" s="299"/>
      <c r="E374" s="299"/>
      <c r="F374" s="300">
        <v>2703.3</v>
      </c>
      <c r="G374" s="300">
        <v>2609.1999999999998</v>
      </c>
      <c r="H374" s="50">
        <f>I374+J374+K374+L374+M374+N374+O374</f>
        <v>3037801.66</v>
      </c>
      <c r="I374" s="49">
        <v>0</v>
      </c>
      <c r="J374" s="416">
        <v>3037801.66</v>
      </c>
      <c r="K374" s="71">
        <v>0</v>
      </c>
      <c r="L374" s="49">
        <v>0</v>
      </c>
      <c r="M374" s="49">
        <v>0</v>
      </c>
      <c r="N374" s="49">
        <v>0</v>
      </c>
      <c r="O374" s="49">
        <v>0</v>
      </c>
      <c r="P374" s="49">
        <v>0</v>
      </c>
      <c r="Q374" s="49">
        <v>0</v>
      </c>
      <c r="R374" s="49">
        <v>0</v>
      </c>
      <c r="S374" s="97">
        <f>H374</f>
        <v>3037801.66</v>
      </c>
      <c r="T374" s="66">
        <v>2017</v>
      </c>
      <c r="U374" s="66">
        <v>2017</v>
      </c>
      <c r="V374" s="298" t="s">
        <v>144</v>
      </c>
      <c r="W374" s="301">
        <v>9</v>
      </c>
    </row>
    <row r="375" spans="1:25" ht="15.75">
      <c r="A375" s="47">
        <f>A374+1</f>
        <v>316</v>
      </c>
      <c r="B375" s="298" t="s">
        <v>353</v>
      </c>
      <c r="C375" s="299">
        <v>1965</v>
      </c>
      <c r="D375" s="299"/>
      <c r="E375" s="299"/>
      <c r="F375" s="300">
        <v>1499.3</v>
      </c>
      <c r="G375" s="300">
        <v>1392.7</v>
      </c>
      <c r="H375" s="50">
        <f>I375+J375+K375+L375+M375+N375+O375</f>
        <v>2541593.94</v>
      </c>
      <c r="I375" s="49">
        <v>0</v>
      </c>
      <c r="J375" s="49">
        <v>0</v>
      </c>
      <c r="K375" s="71">
        <f>ROUND(1824.94*G375,2)-O375</f>
        <v>2482217.52</v>
      </c>
      <c r="L375" s="49">
        <v>0</v>
      </c>
      <c r="M375" s="49">
        <v>0</v>
      </c>
      <c r="N375" s="49">
        <v>0</v>
      </c>
      <c r="O375" s="49">
        <v>59376.42</v>
      </c>
      <c r="P375" s="49">
        <v>0</v>
      </c>
      <c r="Q375" s="49">
        <v>0</v>
      </c>
      <c r="R375" s="49">
        <v>0</v>
      </c>
      <c r="S375" s="97">
        <f>H375</f>
        <v>2541593.94</v>
      </c>
      <c r="T375" s="66">
        <v>2017</v>
      </c>
      <c r="U375" s="66">
        <v>2017</v>
      </c>
      <c r="V375" s="298" t="s">
        <v>145</v>
      </c>
      <c r="W375" s="301">
        <v>4</v>
      </c>
    </row>
    <row r="376" spans="1:25" ht="15.75">
      <c r="A376" s="327" t="s">
        <v>263</v>
      </c>
      <c r="B376" s="333"/>
      <c r="C376" s="53"/>
      <c r="D376" s="53"/>
      <c r="E376" s="215"/>
      <c r="F376" s="65">
        <f t="shared" ref="F376:O376" si="35">SUM(F371:F375)</f>
        <v>10250.299999999999</v>
      </c>
      <c r="G376" s="65">
        <f t="shared" si="35"/>
        <v>9538</v>
      </c>
      <c r="H376" s="52">
        <f t="shared" si="35"/>
        <v>14614023.619999999</v>
      </c>
      <c r="I376" s="46">
        <f t="shared" si="35"/>
        <v>0</v>
      </c>
      <c r="J376" s="46">
        <f t="shared" si="35"/>
        <v>3037801.66</v>
      </c>
      <c r="K376" s="46">
        <f t="shared" si="35"/>
        <v>11252324.939999999</v>
      </c>
      <c r="L376" s="46">
        <f t="shared" si="35"/>
        <v>0</v>
      </c>
      <c r="M376" s="46">
        <f t="shared" si="35"/>
        <v>0</v>
      </c>
      <c r="N376" s="46">
        <f t="shared" si="35"/>
        <v>0</v>
      </c>
      <c r="O376" s="46">
        <f t="shared" si="35"/>
        <v>323897.01999999996</v>
      </c>
      <c r="P376" s="46">
        <f>SUM(P371:P375)</f>
        <v>0</v>
      </c>
      <c r="Q376" s="46">
        <f>SUM(Q371:Q375)</f>
        <v>0</v>
      </c>
      <c r="R376" s="46">
        <f>SUM(R371:R375)</f>
        <v>0</v>
      </c>
      <c r="S376" s="96">
        <f>SUM(S371:S375)</f>
        <v>14614023.619999999</v>
      </c>
      <c r="T376" s="22" t="s">
        <v>113</v>
      </c>
      <c r="U376" s="22" t="s">
        <v>113</v>
      </c>
    </row>
    <row r="377" spans="1:25" ht="15.75">
      <c r="A377" s="329" t="s">
        <v>27</v>
      </c>
      <c r="B377" s="330"/>
      <c r="C377" s="330"/>
      <c r="D377" s="330"/>
      <c r="E377" s="331"/>
      <c r="F377" s="330"/>
      <c r="G377" s="330"/>
      <c r="H377" s="330"/>
      <c r="I377" s="330"/>
      <c r="J377" s="330"/>
      <c r="K377" s="330"/>
      <c r="L377" s="330"/>
      <c r="M377" s="330"/>
      <c r="N377" s="330"/>
      <c r="O377" s="330"/>
      <c r="P377" s="330"/>
      <c r="Q377" s="330"/>
      <c r="R377" s="330"/>
      <c r="S377" s="332"/>
      <c r="T377" s="66"/>
      <c r="U377" s="66"/>
    </row>
    <row r="378" spans="1:25" ht="15.75">
      <c r="A378" s="70">
        <f>A375+1</f>
        <v>317</v>
      </c>
      <c r="B378" s="266" t="s">
        <v>366</v>
      </c>
      <c r="C378" s="70">
        <v>1983</v>
      </c>
      <c r="D378" s="70"/>
      <c r="E378" s="70"/>
      <c r="F378" s="64">
        <v>3836</v>
      </c>
      <c r="G378" s="64">
        <v>3381.4</v>
      </c>
      <c r="H378" s="50">
        <f>I378+J378+K378+L378+M378+N378+O378</f>
        <v>3626382.43</v>
      </c>
      <c r="I378" s="49">
        <v>0</v>
      </c>
      <c r="J378" s="49">
        <v>0</v>
      </c>
      <c r="K378" s="71">
        <f>ROUND(1072.45*G378,2)-O378</f>
        <v>3529122.1100000003</v>
      </c>
      <c r="L378" s="49">
        <v>0</v>
      </c>
      <c r="M378" s="49">
        <v>0</v>
      </c>
      <c r="N378" s="49">
        <v>0</v>
      </c>
      <c r="O378" s="49">
        <v>97260.32</v>
      </c>
      <c r="P378" s="49">
        <v>0</v>
      </c>
      <c r="Q378" s="49">
        <v>0</v>
      </c>
      <c r="R378" s="49">
        <v>0</v>
      </c>
      <c r="S378" s="97">
        <f>H378</f>
        <v>3626382.43</v>
      </c>
      <c r="T378" s="66">
        <v>2017</v>
      </c>
      <c r="U378" s="66">
        <v>2017</v>
      </c>
      <c r="V378" s="302" t="s">
        <v>365</v>
      </c>
      <c r="W378" s="55">
        <v>5</v>
      </c>
    </row>
    <row r="379" spans="1:25" ht="15.75">
      <c r="A379" s="327" t="s">
        <v>263</v>
      </c>
      <c r="B379" s="333"/>
      <c r="C379" s="53"/>
      <c r="D379" s="53"/>
      <c r="E379" s="215"/>
      <c r="F379" s="96">
        <f t="shared" ref="F379:K379" si="36">SUM(F378:F378)</f>
        <v>3836</v>
      </c>
      <c r="G379" s="96">
        <f t="shared" si="36"/>
        <v>3381.4</v>
      </c>
      <c r="H379" s="52">
        <f t="shared" si="36"/>
        <v>3626382.43</v>
      </c>
      <c r="I379" s="52">
        <f t="shared" si="36"/>
        <v>0</v>
      </c>
      <c r="J379" s="52">
        <f t="shared" si="36"/>
        <v>0</v>
      </c>
      <c r="K379" s="52">
        <f t="shared" si="36"/>
        <v>3529122.1100000003</v>
      </c>
      <c r="L379" s="52">
        <f t="shared" ref="L379:S379" si="37">SUM(L378:L378)</f>
        <v>0</v>
      </c>
      <c r="M379" s="52">
        <f t="shared" si="37"/>
        <v>0</v>
      </c>
      <c r="N379" s="52">
        <f t="shared" si="37"/>
        <v>0</v>
      </c>
      <c r="O379" s="52">
        <f t="shared" si="37"/>
        <v>97260.32</v>
      </c>
      <c r="P379" s="52">
        <f t="shared" si="37"/>
        <v>0</v>
      </c>
      <c r="Q379" s="52">
        <f t="shared" si="37"/>
        <v>0</v>
      </c>
      <c r="R379" s="52">
        <f t="shared" si="37"/>
        <v>0</v>
      </c>
      <c r="S379" s="96">
        <f t="shared" si="37"/>
        <v>3626382.43</v>
      </c>
      <c r="T379" s="22" t="s">
        <v>113</v>
      </c>
      <c r="U379" s="22" t="s">
        <v>113</v>
      </c>
    </row>
    <row r="380" spans="1:25" ht="15.75">
      <c r="A380" s="329" t="s">
        <v>356</v>
      </c>
      <c r="B380" s="330"/>
      <c r="C380" s="330"/>
      <c r="D380" s="330"/>
      <c r="E380" s="331"/>
      <c r="F380" s="330"/>
      <c r="G380" s="330"/>
      <c r="H380" s="330"/>
      <c r="I380" s="330"/>
      <c r="J380" s="330"/>
      <c r="K380" s="330"/>
      <c r="L380" s="330"/>
      <c r="M380" s="330"/>
      <c r="N380" s="330"/>
      <c r="O380" s="330"/>
      <c r="P380" s="330"/>
      <c r="Q380" s="330"/>
      <c r="R380" s="330"/>
      <c r="S380" s="332"/>
      <c r="T380" s="23"/>
      <c r="U380" s="23"/>
    </row>
    <row r="381" spans="1:25" ht="15.75" customHeight="1">
      <c r="A381" s="47">
        <f>A378+1</f>
        <v>318</v>
      </c>
      <c r="B381" s="209" t="s">
        <v>357</v>
      </c>
      <c r="C381" s="47">
        <v>1971</v>
      </c>
      <c r="D381" s="23"/>
      <c r="E381" s="23"/>
      <c r="F381" s="63">
        <v>3419.5</v>
      </c>
      <c r="G381" s="64">
        <v>3349.84</v>
      </c>
      <c r="H381" s="50">
        <f>I381+J381+K381+L381+M381+N381+O381</f>
        <v>3834762.84</v>
      </c>
      <c r="I381" s="49">
        <v>0</v>
      </c>
      <c r="J381" s="49">
        <v>0</v>
      </c>
      <c r="K381" s="49">
        <v>0</v>
      </c>
      <c r="L381" s="49">
        <v>0</v>
      </c>
      <c r="M381" s="49">
        <f>ROUND(1144.76*G381,2)-O381</f>
        <v>3701735.54</v>
      </c>
      <c r="N381" s="49">
        <v>0</v>
      </c>
      <c r="O381" s="49">
        <v>133027.29999999999</v>
      </c>
      <c r="P381" s="49">
        <v>0</v>
      </c>
      <c r="Q381" s="49">
        <v>0</v>
      </c>
      <c r="R381" s="49">
        <v>0</v>
      </c>
      <c r="S381" s="94">
        <f>H381</f>
        <v>3834762.84</v>
      </c>
      <c r="T381" s="66">
        <v>2017</v>
      </c>
      <c r="U381" s="66">
        <v>2017</v>
      </c>
      <c r="V381" s="298" t="s">
        <v>145</v>
      </c>
      <c r="W381" s="301">
        <v>5</v>
      </c>
    </row>
    <row r="382" spans="1:25" ht="15.75">
      <c r="A382" s="327" t="s">
        <v>263</v>
      </c>
      <c r="B382" s="333"/>
      <c r="C382" s="53"/>
      <c r="D382" s="53"/>
      <c r="E382" s="215"/>
      <c r="F382" s="65">
        <f t="shared" ref="F382:O382" si="38">SUM(F381:F381)</f>
        <v>3419.5</v>
      </c>
      <c r="G382" s="96">
        <f t="shared" si="38"/>
        <v>3349.84</v>
      </c>
      <c r="H382" s="52">
        <f t="shared" si="38"/>
        <v>3834762.84</v>
      </c>
      <c r="I382" s="46">
        <f t="shared" si="38"/>
        <v>0</v>
      </c>
      <c r="J382" s="46">
        <f t="shared" si="38"/>
        <v>0</v>
      </c>
      <c r="K382" s="46">
        <f t="shared" si="38"/>
        <v>0</v>
      </c>
      <c r="L382" s="46">
        <f t="shared" si="38"/>
        <v>0</v>
      </c>
      <c r="M382" s="46">
        <f t="shared" si="38"/>
        <v>3701735.54</v>
      </c>
      <c r="N382" s="46">
        <f t="shared" si="38"/>
        <v>0</v>
      </c>
      <c r="O382" s="46">
        <f t="shared" si="38"/>
        <v>133027.29999999999</v>
      </c>
      <c r="P382" s="46">
        <f>SUM(P381:P381)</f>
        <v>0</v>
      </c>
      <c r="Q382" s="46">
        <f>SUM(Q381:Q381)</f>
        <v>0</v>
      </c>
      <c r="R382" s="46">
        <f>SUM(R381:R381)</f>
        <v>0</v>
      </c>
      <c r="S382" s="96">
        <f>SUM(S381:S381)</f>
        <v>3834762.84</v>
      </c>
      <c r="T382" s="22" t="s">
        <v>113</v>
      </c>
      <c r="U382" s="22" t="s">
        <v>113</v>
      </c>
      <c r="V382" s="303"/>
    </row>
    <row r="383" spans="1:25" ht="15.75">
      <c r="A383" s="329" t="s">
        <v>487</v>
      </c>
      <c r="B383" s="330"/>
      <c r="C383" s="330"/>
      <c r="D383" s="330"/>
      <c r="E383" s="331"/>
      <c r="F383" s="330"/>
      <c r="G383" s="330"/>
      <c r="H383" s="330"/>
      <c r="I383" s="330"/>
      <c r="J383" s="330"/>
      <c r="K383" s="330"/>
      <c r="L383" s="330"/>
      <c r="M383" s="330"/>
      <c r="N383" s="330"/>
      <c r="O383" s="330"/>
      <c r="P383" s="330"/>
      <c r="Q383" s="330"/>
      <c r="R383" s="330"/>
      <c r="S383" s="332"/>
      <c r="T383" s="22"/>
      <c r="U383" s="22"/>
      <c r="V383" s="303"/>
    </row>
    <row r="384" spans="1:25" s="24" customFormat="1" ht="15.75">
      <c r="A384" s="47">
        <f>A381+1</f>
        <v>319</v>
      </c>
      <c r="B384" s="304" t="s">
        <v>488</v>
      </c>
      <c r="C384" s="47">
        <v>1971</v>
      </c>
      <c r="D384" s="47"/>
      <c r="E384" s="195"/>
      <c r="F384" s="62">
        <v>2085.6</v>
      </c>
      <c r="G384" s="94">
        <v>1937.4</v>
      </c>
      <c r="H384" s="50">
        <f>I384+J384+K384+L384+M384+N384+O384</f>
        <v>2046185.0099999998</v>
      </c>
      <c r="I384" s="50">
        <v>0</v>
      </c>
      <c r="J384" s="50">
        <v>0</v>
      </c>
      <c r="K384" s="49">
        <f>ROUND(1056.15*G384,2)-O384</f>
        <v>1978817.63</v>
      </c>
      <c r="L384" s="50">
        <v>0</v>
      </c>
      <c r="M384" s="50">
        <v>0</v>
      </c>
      <c r="N384" s="50">
        <v>0</v>
      </c>
      <c r="O384" s="50">
        <v>67367.38</v>
      </c>
      <c r="P384" s="50">
        <v>0</v>
      </c>
      <c r="Q384" s="50">
        <v>0</v>
      </c>
      <c r="R384" s="50">
        <v>0</v>
      </c>
      <c r="S384" s="94">
        <f>H384</f>
        <v>2046185.0099999998</v>
      </c>
      <c r="T384" s="66">
        <v>2017</v>
      </c>
      <c r="U384" s="66">
        <v>2017</v>
      </c>
      <c r="V384" s="298" t="s">
        <v>145</v>
      </c>
      <c r="W384" s="301">
        <v>5</v>
      </c>
      <c r="X384" s="24" t="str">
        <f>[2]Реестр!$AX$5799</f>
        <v>плоская</v>
      </c>
      <c r="Y384" s="24" t="str">
        <f>[2]Реестр!$AX$5774</f>
        <v>скатная</v>
      </c>
    </row>
    <row r="385" spans="1:24" s="24" customFormat="1" ht="15.75">
      <c r="A385" s="47">
        <f>A384+1</f>
        <v>320</v>
      </c>
      <c r="B385" s="304" t="s">
        <v>489</v>
      </c>
      <c r="C385" s="47">
        <v>1971</v>
      </c>
      <c r="D385" s="47"/>
      <c r="E385" s="195"/>
      <c r="F385" s="62">
        <v>2246.1999999999998</v>
      </c>
      <c r="G385" s="94">
        <v>2096.3000000000002</v>
      </c>
      <c r="H385" s="50">
        <f>I385+J385+K385+L385+M385+N385+O385</f>
        <v>2214007.25</v>
      </c>
      <c r="I385" s="50">
        <v>0</v>
      </c>
      <c r="J385" s="50">
        <v>0</v>
      </c>
      <c r="K385" s="49">
        <f>ROUND(1056.15*G385,2)-O385</f>
        <v>2152669.67</v>
      </c>
      <c r="L385" s="50">
        <v>0</v>
      </c>
      <c r="M385" s="50">
        <v>0</v>
      </c>
      <c r="N385" s="50">
        <v>0</v>
      </c>
      <c r="O385" s="50">
        <v>61337.58</v>
      </c>
      <c r="P385" s="50">
        <v>0</v>
      </c>
      <c r="Q385" s="50">
        <v>0</v>
      </c>
      <c r="R385" s="50">
        <v>0</v>
      </c>
      <c r="S385" s="94">
        <f>H385</f>
        <v>2214007.25</v>
      </c>
      <c r="T385" s="66">
        <v>2017</v>
      </c>
      <c r="U385" s="66">
        <v>2017</v>
      </c>
      <c r="V385" s="298" t="s">
        <v>145</v>
      </c>
      <c r="W385" s="301">
        <v>5</v>
      </c>
      <c r="X385" s="24" t="str">
        <f>[2]Реестр!$AX$5799</f>
        <v>плоская</v>
      </c>
    </row>
    <row r="386" spans="1:24" ht="15.75">
      <c r="A386" s="327" t="s">
        <v>263</v>
      </c>
      <c r="B386" s="333"/>
      <c r="C386" s="53"/>
      <c r="D386" s="53"/>
      <c r="E386" s="215"/>
      <c r="F386" s="65">
        <f t="shared" ref="F386:O386" si="39">SUM(F384:F385)</f>
        <v>4331.7999999999993</v>
      </c>
      <c r="G386" s="65">
        <f t="shared" si="39"/>
        <v>4033.7000000000003</v>
      </c>
      <c r="H386" s="52">
        <f t="shared" si="39"/>
        <v>4260192.26</v>
      </c>
      <c r="I386" s="46">
        <f t="shared" si="39"/>
        <v>0</v>
      </c>
      <c r="J386" s="46">
        <f t="shared" si="39"/>
        <v>0</v>
      </c>
      <c r="K386" s="46">
        <f t="shared" si="39"/>
        <v>4131487.3</v>
      </c>
      <c r="L386" s="46">
        <f t="shared" si="39"/>
        <v>0</v>
      </c>
      <c r="M386" s="46">
        <f t="shared" si="39"/>
        <v>0</v>
      </c>
      <c r="N386" s="46">
        <f t="shared" si="39"/>
        <v>0</v>
      </c>
      <c r="O386" s="46">
        <f t="shared" si="39"/>
        <v>128704.96000000001</v>
      </c>
      <c r="P386" s="46">
        <f>SUM(P384:P385)</f>
        <v>0</v>
      </c>
      <c r="Q386" s="46">
        <f>SUM(Q384:Q385)</f>
        <v>0</v>
      </c>
      <c r="R386" s="46">
        <f>SUM(R384:R385)</f>
        <v>0</v>
      </c>
      <c r="S386" s="96">
        <f>SUM(S384:S385)</f>
        <v>4260192.26</v>
      </c>
      <c r="T386" s="22" t="s">
        <v>113</v>
      </c>
      <c r="U386" s="22" t="s">
        <v>113</v>
      </c>
      <c r="V386" s="303"/>
    </row>
    <row r="387" spans="1:24" ht="15.75">
      <c r="A387" s="327" t="s">
        <v>266</v>
      </c>
      <c r="B387" s="328"/>
      <c r="C387" s="53"/>
      <c r="D387" s="53"/>
      <c r="E387" s="215"/>
      <c r="F387" s="96">
        <f t="shared" ref="F387:O387" si="40">F382+F379+F376+F369+F361+F357+F347+F343+F386</f>
        <v>70364.779999999984</v>
      </c>
      <c r="G387" s="96">
        <f t="shared" si="40"/>
        <v>62100.84</v>
      </c>
      <c r="H387" s="96">
        <f t="shared" si="40"/>
        <v>72881247.920000002</v>
      </c>
      <c r="I387" s="96">
        <f t="shared" si="40"/>
        <v>6269788.5300000003</v>
      </c>
      <c r="J387" s="96">
        <f t="shared" si="40"/>
        <v>6075603.3200000003</v>
      </c>
      <c r="K387" s="96">
        <f t="shared" si="40"/>
        <v>45822599.209999993</v>
      </c>
      <c r="L387" s="96">
        <f t="shared" si="40"/>
        <v>0</v>
      </c>
      <c r="M387" s="96">
        <f t="shared" si="40"/>
        <v>12422934.219999999</v>
      </c>
      <c r="N387" s="96">
        <f t="shared" si="40"/>
        <v>0</v>
      </c>
      <c r="O387" s="96">
        <f t="shared" si="40"/>
        <v>2290322.6399999997</v>
      </c>
      <c r="P387" s="46">
        <f>P382+P379+P376+P369+P361+P357+P347+P343+P386</f>
        <v>0</v>
      </c>
      <c r="Q387" s="46">
        <f>Q382+Q379+Q376+Q369+Q361+Q357+Q347+Q343+Q386</f>
        <v>0</v>
      </c>
      <c r="R387" s="46">
        <f>R382+R379+R376+R369+R361+R357+R347+R343+R386</f>
        <v>0</v>
      </c>
      <c r="S387" s="96">
        <f>S382+S379+S376+S369+S361+S357+S347+S343+S386</f>
        <v>72881247.920000002</v>
      </c>
      <c r="T387" s="22" t="s">
        <v>113</v>
      </c>
      <c r="U387" s="22" t="s">
        <v>113</v>
      </c>
    </row>
    <row r="388" spans="1:24" ht="15.75">
      <c r="A388" s="329" t="s">
        <v>82</v>
      </c>
      <c r="B388" s="330"/>
      <c r="C388" s="330"/>
      <c r="D388" s="330"/>
      <c r="E388" s="331"/>
      <c r="F388" s="330"/>
      <c r="G388" s="330"/>
      <c r="H388" s="330"/>
      <c r="I388" s="330"/>
      <c r="J388" s="330"/>
      <c r="K388" s="330"/>
      <c r="L388" s="330"/>
      <c r="M388" s="330"/>
      <c r="N388" s="330"/>
      <c r="O388" s="330"/>
      <c r="P388" s="330"/>
      <c r="Q388" s="330"/>
      <c r="R388" s="330"/>
      <c r="S388" s="332"/>
      <c r="T388" s="23"/>
      <c r="U388" s="23"/>
    </row>
    <row r="389" spans="1:24" ht="15.75">
      <c r="A389" s="329" t="s">
        <v>83</v>
      </c>
      <c r="B389" s="330"/>
      <c r="C389" s="330"/>
      <c r="D389" s="330"/>
      <c r="E389" s="331"/>
      <c r="F389" s="330"/>
      <c r="G389" s="330"/>
      <c r="H389" s="330"/>
      <c r="I389" s="330"/>
      <c r="J389" s="330"/>
      <c r="K389" s="330"/>
      <c r="L389" s="330"/>
      <c r="M389" s="330"/>
      <c r="N389" s="330"/>
      <c r="O389" s="330"/>
      <c r="P389" s="330"/>
      <c r="Q389" s="330"/>
      <c r="R389" s="330"/>
      <c r="S389" s="332"/>
      <c r="T389" s="23"/>
      <c r="U389" s="23"/>
    </row>
    <row r="390" spans="1:24" ht="15.75">
      <c r="A390" s="47">
        <f>A385+1</f>
        <v>321</v>
      </c>
      <c r="B390" s="305" t="s">
        <v>358</v>
      </c>
      <c r="C390" s="306">
        <v>1969</v>
      </c>
      <c r="D390" s="47"/>
      <c r="E390" s="195"/>
      <c r="F390" s="62">
        <v>2145.6</v>
      </c>
      <c r="G390" s="129">
        <v>1813.6</v>
      </c>
      <c r="H390" s="50">
        <f>I390+J390+K390+L390+M390+N390+O390</f>
        <v>874191.47</v>
      </c>
      <c r="I390" s="307">
        <f>ROUND((191.67+290.35)*G390,2)-O390</f>
        <v>821739.98</v>
      </c>
      <c r="J390" s="49">
        <v>0</v>
      </c>
      <c r="K390" s="71">
        <v>0</v>
      </c>
      <c r="L390" s="49">
        <v>0</v>
      </c>
      <c r="M390" s="71">
        <v>0</v>
      </c>
      <c r="N390" s="308">
        <v>0</v>
      </c>
      <c r="O390" s="49">
        <v>52451.49</v>
      </c>
      <c r="P390" s="49">
        <v>0</v>
      </c>
      <c r="Q390" s="49">
        <v>0</v>
      </c>
      <c r="R390" s="49">
        <v>0</v>
      </c>
      <c r="S390" s="94">
        <f>H390</f>
        <v>874191.47</v>
      </c>
      <c r="T390" s="66">
        <v>2017</v>
      </c>
      <c r="U390" s="66">
        <v>2017</v>
      </c>
      <c r="V390" s="305" t="s">
        <v>145</v>
      </c>
      <c r="W390" s="306">
        <v>5</v>
      </c>
    </row>
    <row r="391" spans="1:24" ht="15.75">
      <c r="A391" s="47">
        <f>A390+1</f>
        <v>322</v>
      </c>
      <c r="B391" s="141" t="s">
        <v>84</v>
      </c>
      <c r="C391" s="140" t="s">
        <v>63</v>
      </c>
      <c r="D391" s="23"/>
      <c r="E391" s="23"/>
      <c r="F391" s="62">
        <v>683.2</v>
      </c>
      <c r="G391" s="129">
        <v>634.9</v>
      </c>
      <c r="H391" s="50">
        <f>I391+J391+K391+L391+M391+N391+O391</f>
        <v>3837075.3</v>
      </c>
      <c r="I391" s="307">
        <f>ROUND(332.83*G391,2)-8611.93</f>
        <v>202701.84</v>
      </c>
      <c r="J391" s="49">
        <v>0</v>
      </c>
      <c r="K391" s="49">
        <f>ROUND(4211.64*G391,2)-108975.66</f>
        <v>2564994.58</v>
      </c>
      <c r="L391" s="49">
        <v>0</v>
      </c>
      <c r="M391" s="49">
        <f>ROUND(1346.77*G391,2)-34847.51</f>
        <v>820216.76</v>
      </c>
      <c r="N391" s="49">
        <f>ROUND(152.35*G391,2)-3942.04</f>
        <v>92784.98000000001</v>
      </c>
      <c r="O391" s="49">
        <v>156377.14000000001</v>
      </c>
      <c r="P391" s="49">
        <v>0</v>
      </c>
      <c r="Q391" s="49">
        <v>0</v>
      </c>
      <c r="R391" s="49">
        <v>0</v>
      </c>
      <c r="S391" s="94">
        <f>H391</f>
        <v>3837075.3</v>
      </c>
      <c r="T391" s="66">
        <v>2017</v>
      </c>
      <c r="U391" s="66">
        <v>2017</v>
      </c>
      <c r="V391" s="141" t="s">
        <v>145</v>
      </c>
      <c r="W391" s="140" t="s">
        <v>16</v>
      </c>
    </row>
    <row r="392" spans="1:24" ht="15.75">
      <c r="A392" s="327" t="s">
        <v>263</v>
      </c>
      <c r="B392" s="333"/>
      <c r="C392" s="53"/>
      <c r="D392" s="53"/>
      <c r="E392" s="215"/>
      <c r="F392" s="65">
        <f t="shared" ref="F392:O392" si="41">SUM(F390:F391)</f>
        <v>2828.8</v>
      </c>
      <c r="G392" s="65">
        <f t="shared" si="41"/>
        <v>2448.5</v>
      </c>
      <c r="H392" s="52">
        <f t="shared" si="41"/>
        <v>4711266.7699999996</v>
      </c>
      <c r="I392" s="46">
        <f t="shared" si="41"/>
        <v>1024441.82</v>
      </c>
      <c r="J392" s="46">
        <f t="shared" si="41"/>
        <v>0</v>
      </c>
      <c r="K392" s="46">
        <f t="shared" si="41"/>
        <v>2564994.58</v>
      </c>
      <c r="L392" s="46">
        <f t="shared" si="41"/>
        <v>0</v>
      </c>
      <c r="M392" s="46">
        <f t="shared" si="41"/>
        <v>820216.76</v>
      </c>
      <c r="N392" s="46">
        <f t="shared" si="41"/>
        <v>92784.98000000001</v>
      </c>
      <c r="O392" s="46">
        <f t="shared" si="41"/>
        <v>208828.63</v>
      </c>
      <c r="P392" s="46">
        <f>SUM(P390:P391)</f>
        <v>0</v>
      </c>
      <c r="Q392" s="46">
        <f>SUM(Q390:Q391)</f>
        <v>0</v>
      </c>
      <c r="R392" s="46">
        <f>SUM(R390:R391)</f>
        <v>0</v>
      </c>
      <c r="S392" s="96">
        <f>SUM(S390:S391)</f>
        <v>4711266.7699999996</v>
      </c>
      <c r="T392" s="22" t="s">
        <v>113</v>
      </c>
      <c r="U392" s="22" t="s">
        <v>113</v>
      </c>
    </row>
    <row r="393" spans="1:24" ht="15.75">
      <c r="A393" s="329" t="s">
        <v>85</v>
      </c>
      <c r="B393" s="330"/>
      <c r="C393" s="330"/>
      <c r="D393" s="330"/>
      <c r="E393" s="331"/>
      <c r="F393" s="330"/>
      <c r="G393" s="330"/>
      <c r="H393" s="330"/>
      <c r="I393" s="330"/>
      <c r="J393" s="330"/>
      <c r="K393" s="330"/>
      <c r="L393" s="330"/>
      <c r="M393" s="330"/>
      <c r="N393" s="330"/>
      <c r="O393" s="330"/>
      <c r="P393" s="330"/>
      <c r="Q393" s="330"/>
      <c r="R393" s="330"/>
      <c r="S393" s="332"/>
      <c r="T393" s="23"/>
      <c r="U393" s="23"/>
    </row>
    <row r="394" spans="1:24" s="24" customFormat="1" ht="15.75">
      <c r="A394" s="47">
        <f>A391+1</f>
        <v>323</v>
      </c>
      <c r="B394" s="130" t="s">
        <v>359</v>
      </c>
      <c r="C394" s="131">
        <v>1963</v>
      </c>
      <c r="D394" s="131"/>
      <c r="E394" s="217"/>
      <c r="F394" s="132">
        <v>1145.4000000000001</v>
      </c>
      <c r="G394" s="132">
        <v>1094.8</v>
      </c>
      <c r="H394" s="50">
        <f>I394+J394+K394+L394+M394+N394+O394</f>
        <v>4895671.9000000004</v>
      </c>
      <c r="I394" s="49">
        <f>ROUND((727.06+191.67+290.35+292.97)*G394,2)-65377.86</f>
        <v>1579066.48</v>
      </c>
      <c r="J394" s="49">
        <v>0</v>
      </c>
      <c r="K394" s="71">
        <f>ROUND(1824.94*G394,2)-79431.89</f>
        <v>1918512.4200000002</v>
      </c>
      <c r="L394" s="49">
        <v>0</v>
      </c>
      <c r="M394" s="49">
        <f>ROUND(1144.76*G394,2)-49826.54</f>
        <v>1203456.71</v>
      </c>
      <c r="N394" s="49">
        <v>0</v>
      </c>
      <c r="O394" s="49">
        <v>194636.29</v>
      </c>
      <c r="P394" s="49">
        <v>0</v>
      </c>
      <c r="Q394" s="49">
        <v>0</v>
      </c>
      <c r="R394" s="49">
        <v>0</v>
      </c>
      <c r="S394" s="94">
        <f>H394</f>
        <v>4895671.9000000004</v>
      </c>
      <c r="T394" s="66">
        <v>2017</v>
      </c>
      <c r="U394" s="66">
        <v>2017</v>
      </c>
      <c r="V394" s="130" t="s">
        <v>360</v>
      </c>
      <c r="W394" s="133">
        <v>3</v>
      </c>
      <c r="X394" s="24" t="str">
        <f>[2]Реестр!$AX$5773</f>
        <v>скатная</v>
      </c>
    </row>
    <row r="395" spans="1:24" s="24" customFormat="1" ht="15.75">
      <c r="A395" s="47">
        <f>A394+1</f>
        <v>324</v>
      </c>
      <c r="B395" s="130" t="s">
        <v>367</v>
      </c>
      <c r="C395" s="131">
        <v>1961</v>
      </c>
      <c r="D395" s="131"/>
      <c r="E395" s="217"/>
      <c r="F395" s="132">
        <v>1179.3</v>
      </c>
      <c r="G395" s="132">
        <v>1106.5</v>
      </c>
      <c r="H395" s="50">
        <f>I395+J395+K395+L395+M395+N395+O395</f>
        <v>4947991.3800000008</v>
      </c>
      <c r="I395" s="49">
        <f>ROUND((727.06+191.67+290.35+292.97)*G395,2)-65027.08</f>
        <v>1596991.25</v>
      </c>
      <c r="J395" s="49">
        <v>0</v>
      </c>
      <c r="K395" s="71">
        <f>ROUND(1824.94*G395,2)-79005.7</f>
        <v>1940290.4100000001</v>
      </c>
      <c r="L395" s="49">
        <v>0</v>
      </c>
      <c r="M395" s="49">
        <f>ROUND(1144.76*G395,2)-49559.2</f>
        <v>1217117.74</v>
      </c>
      <c r="N395" s="49">
        <v>0</v>
      </c>
      <c r="O395" s="49">
        <v>193591.98</v>
      </c>
      <c r="P395" s="49">
        <v>0</v>
      </c>
      <c r="Q395" s="49">
        <v>0</v>
      </c>
      <c r="R395" s="49">
        <v>0</v>
      </c>
      <c r="S395" s="94">
        <f>H395</f>
        <v>4947991.3800000008</v>
      </c>
      <c r="T395" s="66">
        <v>2017</v>
      </c>
      <c r="U395" s="66">
        <v>2017</v>
      </c>
      <c r="V395" s="130" t="s">
        <v>360</v>
      </c>
      <c r="W395" s="133">
        <v>3</v>
      </c>
      <c r="X395" s="24" t="str">
        <f>[2]Реестр!$AX$5774</f>
        <v>скатная</v>
      </c>
    </row>
    <row r="396" spans="1:24" s="24" customFormat="1" ht="15.75">
      <c r="A396" s="47">
        <f>A395+1</f>
        <v>325</v>
      </c>
      <c r="B396" s="309" t="s">
        <v>118</v>
      </c>
      <c r="C396" s="140">
        <v>1977</v>
      </c>
      <c r="D396" s="140"/>
      <c r="E396" s="310"/>
      <c r="F396" s="311">
        <v>4469.2</v>
      </c>
      <c r="G396" s="311">
        <v>3871.1</v>
      </c>
      <c r="H396" s="50">
        <f>I396+J396+K396+L396+M396+N396+O396</f>
        <v>2724247.91</v>
      </c>
      <c r="I396" s="49">
        <v>0</v>
      </c>
      <c r="J396" s="49">
        <v>0</v>
      </c>
      <c r="K396" s="71">
        <f>ROUND(703.74*G396,2)-O396</f>
        <v>2655354.79</v>
      </c>
      <c r="L396" s="49">
        <v>0</v>
      </c>
      <c r="M396" s="49">
        <v>0</v>
      </c>
      <c r="N396" s="49">
        <v>0</v>
      </c>
      <c r="O396" s="49">
        <v>68893.119999999995</v>
      </c>
      <c r="P396" s="49">
        <v>0</v>
      </c>
      <c r="Q396" s="49">
        <v>0</v>
      </c>
      <c r="R396" s="49">
        <v>0</v>
      </c>
      <c r="S396" s="94">
        <f>H396</f>
        <v>2724247.91</v>
      </c>
      <c r="T396" s="66">
        <v>2017</v>
      </c>
      <c r="U396" s="66">
        <v>2017</v>
      </c>
      <c r="V396" s="309" t="s">
        <v>361</v>
      </c>
      <c r="W396" s="312">
        <v>9</v>
      </c>
      <c r="X396" s="24" t="str">
        <f>[2]Реестр!$AX$5799</f>
        <v>плоская</v>
      </c>
    </row>
    <row r="397" spans="1:24" ht="15.75">
      <c r="A397" s="327" t="s">
        <v>263</v>
      </c>
      <c r="B397" s="333"/>
      <c r="C397" s="47"/>
      <c r="D397" s="233"/>
      <c r="E397" s="235"/>
      <c r="F397" s="65">
        <f t="shared" ref="F397:O397" si="42">SUM(F394:F396)</f>
        <v>6793.9</v>
      </c>
      <c r="G397" s="65">
        <f t="shared" si="42"/>
        <v>6072.4</v>
      </c>
      <c r="H397" s="46">
        <f t="shared" si="42"/>
        <v>12567911.190000001</v>
      </c>
      <c r="I397" s="46">
        <f t="shared" si="42"/>
        <v>3176057.73</v>
      </c>
      <c r="J397" s="46">
        <f t="shared" si="42"/>
        <v>0</v>
      </c>
      <c r="K397" s="46">
        <f t="shared" si="42"/>
        <v>6514157.6200000001</v>
      </c>
      <c r="L397" s="46">
        <f t="shared" si="42"/>
        <v>0</v>
      </c>
      <c r="M397" s="46">
        <f t="shared" si="42"/>
        <v>2420574.4500000002</v>
      </c>
      <c r="N397" s="46">
        <f t="shared" si="42"/>
        <v>0</v>
      </c>
      <c r="O397" s="46">
        <f t="shared" si="42"/>
        <v>457121.39</v>
      </c>
      <c r="P397" s="46">
        <f>SUM(P394:P396)</f>
        <v>0</v>
      </c>
      <c r="Q397" s="46">
        <f>SUM(Q394:Q396)</f>
        <v>0</v>
      </c>
      <c r="R397" s="46">
        <f>SUM(R394:R396)</f>
        <v>0</v>
      </c>
      <c r="S397" s="46">
        <f>SUM(S394:S396)</f>
        <v>12567911.190000001</v>
      </c>
      <c r="T397" s="22" t="s">
        <v>113</v>
      </c>
      <c r="U397" s="22" t="s">
        <v>113</v>
      </c>
    </row>
    <row r="398" spans="1:24" ht="15.75">
      <c r="A398" s="327" t="s">
        <v>265</v>
      </c>
      <c r="B398" s="328"/>
      <c r="C398" s="53"/>
      <c r="D398" s="53"/>
      <c r="E398" s="215"/>
      <c r="F398" s="65">
        <f t="shared" ref="F398:O398" si="43">F392+F397</f>
        <v>9622.7000000000007</v>
      </c>
      <c r="G398" s="65">
        <f t="shared" si="43"/>
        <v>8520.9</v>
      </c>
      <c r="H398" s="52">
        <f t="shared" si="43"/>
        <v>17279177.960000001</v>
      </c>
      <c r="I398" s="52">
        <f t="shared" si="43"/>
        <v>4200499.55</v>
      </c>
      <c r="J398" s="52">
        <f t="shared" si="43"/>
        <v>0</v>
      </c>
      <c r="K398" s="52">
        <f t="shared" si="43"/>
        <v>9079152.1999999993</v>
      </c>
      <c r="L398" s="52">
        <f t="shared" si="43"/>
        <v>0</v>
      </c>
      <c r="M398" s="52">
        <f t="shared" si="43"/>
        <v>3240791.21</v>
      </c>
      <c r="N398" s="52">
        <f t="shared" si="43"/>
        <v>92784.98000000001</v>
      </c>
      <c r="O398" s="52">
        <f t="shared" si="43"/>
        <v>665950.02</v>
      </c>
      <c r="P398" s="52">
        <f>P392+P397</f>
        <v>0</v>
      </c>
      <c r="Q398" s="52">
        <f>Q392+Q397</f>
        <v>0</v>
      </c>
      <c r="R398" s="52">
        <f>R392+R397</f>
        <v>0</v>
      </c>
      <c r="S398" s="96">
        <f>S392+S397</f>
        <v>17279177.960000001</v>
      </c>
      <c r="T398" s="22" t="s">
        <v>113</v>
      </c>
      <c r="U398" s="22" t="s">
        <v>113</v>
      </c>
    </row>
    <row r="399" spans="1:24" ht="15.75">
      <c r="A399" s="329" t="s">
        <v>86</v>
      </c>
      <c r="B399" s="330"/>
      <c r="C399" s="330"/>
      <c r="D399" s="330"/>
      <c r="E399" s="331"/>
      <c r="F399" s="330"/>
      <c r="G399" s="330"/>
      <c r="H399" s="330"/>
      <c r="I399" s="330"/>
      <c r="J399" s="330"/>
      <c r="K399" s="330"/>
      <c r="L399" s="330"/>
      <c r="M399" s="330"/>
      <c r="N399" s="330"/>
      <c r="O399" s="330"/>
      <c r="P399" s="330"/>
      <c r="Q399" s="330"/>
      <c r="R399" s="330"/>
      <c r="S399" s="332"/>
      <c r="T399" s="23"/>
      <c r="U399" s="23"/>
    </row>
    <row r="400" spans="1:24" ht="15.75">
      <c r="A400" s="329" t="s">
        <v>87</v>
      </c>
      <c r="B400" s="330"/>
      <c r="C400" s="330"/>
      <c r="D400" s="330"/>
      <c r="E400" s="331"/>
      <c r="F400" s="330"/>
      <c r="G400" s="330"/>
      <c r="H400" s="330"/>
      <c r="I400" s="330"/>
      <c r="J400" s="330"/>
      <c r="K400" s="330"/>
      <c r="L400" s="330"/>
      <c r="M400" s="330"/>
      <c r="N400" s="330"/>
      <c r="O400" s="330"/>
      <c r="P400" s="330"/>
      <c r="Q400" s="330"/>
      <c r="R400" s="330"/>
      <c r="S400" s="332"/>
      <c r="T400" s="23"/>
      <c r="U400" s="23"/>
    </row>
    <row r="401" spans="1:23" s="24" customFormat="1" ht="15.75">
      <c r="A401" s="47">
        <f>A396+1</f>
        <v>326</v>
      </c>
      <c r="B401" s="48" t="s">
        <v>88</v>
      </c>
      <c r="C401" s="47" t="s">
        <v>18</v>
      </c>
      <c r="D401" s="47"/>
      <c r="E401" s="47"/>
      <c r="F401" s="313">
        <v>1711.5</v>
      </c>
      <c r="G401" s="142">
        <v>1155.3</v>
      </c>
      <c r="H401" s="50">
        <f>I401+J401+K401+L401+M401+N401+O401</f>
        <v>384518.5</v>
      </c>
      <c r="I401" s="188">
        <f>ROUND(332.83*G401,2)-O401</f>
        <v>361447.39</v>
      </c>
      <c r="J401" s="189">
        <v>0</v>
      </c>
      <c r="K401" s="189">
        <v>0</v>
      </c>
      <c r="L401" s="189">
        <v>0</v>
      </c>
      <c r="M401" s="189">
        <v>0</v>
      </c>
      <c r="N401" s="189">
        <v>0</v>
      </c>
      <c r="O401" s="189">
        <v>23071.11</v>
      </c>
      <c r="P401" s="189">
        <v>0</v>
      </c>
      <c r="Q401" s="189">
        <v>0</v>
      </c>
      <c r="R401" s="189">
        <v>0</v>
      </c>
      <c r="S401" s="190">
        <f>H401</f>
        <v>384518.5</v>
      </c>
      <c r="T401" s="140">
        <v>2017</v>
      </c>
      <c r="U401" s="140">
        <v>2017</v>
      </c>
      <c r="V401" s="141" t="s">
        <v>145</v>
      </c>
      <c r="W401" s="140">
        <v>3</v>
      </c>
    </row>
    <row r="402" spans="1:23" s="24" customFormat="1" ht="15.75">
      <c r="A402" s="47">
        <f>A401+1</f>
        <v>327</v>
      </c>
      <c r="B402" s="48" t="s">
        <v>496</v>
      </c>
      <c r="C402" s="47" t="s">
        <v>97</v>
      </c>
      <c r="D402" s="47"/>
      <c r="E402" s="47"/>
      <c r="F402" s="313">
        <v>3036.4</v>
      </c>
      <c r="G402" s="142">
        <v>2701.8</v>
      </c>
      <c r="H402" s="50">
        <f>I402+J402+K402+L402+M402+N402+O402</f>
        <v>1934650.91</v>
      </c>
      <c r="I402" s="50">
        <f>ROUND(716.06*G402,2)-O402</f>
        <v>1818571.8599999999</v>
      </c>
      <c r="J402" s="49">
        <v>0</v>
      </c>
      <c r="K402" s="49">
        <v>0</v>
      </c>
      <c r="L402" s="49">
        <v>0</v>
      </c>
      <c r="M402" s="49">
        <v>0</v>
      </c>
      <c r="N402" s="49">
        <v>0</v>
      </c>
      <c r="O402" s="49">
        <v>116079.05</v>
      </c>
      <c r="P402" s="49">
        <v>0</v>
      </c>
      <c r="Q402" s="49">
        <v>0</v>
      </c>
      <c r="R402" s="49">
        <v>0</v>
      </c>
      <c r="S402" s="94">
        <f>H402</f>
        <v>1934650.91</v>
      </c>
      <c r="T402" s="66">
        <v>2017</v>
      </c>
      <c r="U402" s="66">
        <v>2017</v>
      </c>
      <c r="V402" s="314" t="s">
        <v>144</v>
      </c>
      <c r="W402" s="140">
        <v>5</v>
      </c>
    </row>
    <row r="403" spans="1:23" s="24" customFormat="1" ht="15.75">
      <c r="A403" s="47">
        <f t="shared" ref="A403:A418" si="44">A402+1</f>
        <v>328</v>
      </c>
      <c r="B403" s="48" t="s">
        <v>427</v>
      </c>
      <c r="C403" s="47" t="s">
        <v>19</v>
      </c>
      <c r="D403" s="47"/>
      <c r="E403" s="47"/>
      <c r="F403" s="313">
        <v>1302</v>
      </c>
      <c r="G403" s="142">
        <v>1154.4000000000001</v>
      </c>
      <c r="H403" s="50">
        <f>I403+J403+K403+L403+M403+N403+O403</f>
        <v>839318.06</v>
      </c>
      <c r="I403" s="50">
        <f>ROUND(727.06*G403,2)-O403</f>
        <v>788958.9800000001</v>
      </c>
      <c r="J403" s="49">
        <v>0</v>
      </c>
      <c r="K403" s="49">
        <v>0</v>
      </c>
      <c r="L403" s="49">
        <v>0</v>
      </c>
      <c r="M403" s="49">
        <v>0</v>
      </c>
      <c r="N403" s="49">
        <v>0</v>
      </c>
      <c r="O403" s="49">
        <v>50359.08</v>
      </c>
      <c r="P403" s="49">
        <v>0</v>
      </c>
      <c r="Q403" s="49">
        <v>0</v>
      </c>
      <c r="R403" s="49">
        <v>0</v>
      </c>
      <c r="S403" s="94">
        <f>H403</f>
        <v>839318.06</v>
      </c>
      <c r="T403" s="66">
        <v>2017</v>
      </c>
      <c r="U403" s="66">
        <v>2017</v>
      </c>
      <c r="V403" s="314" t="s">
        <v>145</v>
      </c>
      <c r="W403" s="66">
        <v>3</v>
      </c>
    </row>
    <row r="404" spans="1:23" s="24" customFormat="1" ht="15.75">
      <c r="A404" s="47">
        <f t="shared" si="44"/>
        <v>329</v>
      </c>
      <c r="B404" s="315" t="s">
        <v>429</v>
      </c>
      <c r="C404" s="418" t="s">
        <v>81</v>
      </c>
      <c r="D404" s="317"/>
      <c r="E404" s="317"/>
      <c r="F404" s="313">
        <v>3759.6</v>
      </c>
      <c r="G404" s="316">
        <v>3455</v>
      </c>
      <c r="H404" s="50">
        <f>I404+J404+K404+L404+M404+N404+O404</f>
        <v>1149927.6499999999</v>
      </c>
      <c r="I404" s="50">
        <f>ROUND(332.83*G404,2)-O404</f>
        <v>1112988.93</v>
      </c>
      <c r="J404" s="49">
        <v>0</v>
      </c>
      <c r="K404" s="49">
        <v>0</v>
      </c>
      <c r="L404" s="49">
        <v>0</v>
      </c>
      <c r="M404" s="49">
        <v>0</v>
      </c>
      <c r="N404" s="49">
        <v>0</v>
      </c>
      <c r="O404" s="49">
        <v>36938.720000000001</v>
      </c>
      <c r="P404" s="49">
        <v>0</v>
      </c>
      <c r="Q404" s="49">
        <v>0</v>
      </c>
      <c r="R404" s="49">
        <v>0</v>
      </c>
      <c r="S404" s="94">
        <f>H404</f>
        <v>1149927.6499999999</v>
      </c>
      <c r="T404" s="66">
        <v>2017</v>
      </c>
      <c r="U404" s="66">
        <v>2017</v>
      </c>
      <c r="V404" s="314" t="s">
        <v>145</v>
      </c>
      <c r="W404" s="317">
        <v>5</v>
      </c>
    </row>
    <row r="405" spans="1:23" s="24" customFormat="1" ht="15.75">
      <c r="A405" s="47">
        <f t="shared" si="44"/>
        <v>330</v>
      </c>
      <c r="B405" s="318" t="s">
        <v>430</v>
      </c>
      <c r="C405" s="310" t="s">
        <v>81</v>
      </c>
      <c r="D405" s="140"/>
      <c r="E405" s="310"/>
      <c r="F405" s="313">
        <v>5088.5</v>
      </c>
      <c r="G405" s="142">
        <v>4597.8999999999996</v>
      </c>
      <c r="H405" s="50">
        <f>I405+J405+K405+L405+M405+N405+O405</f>
        <v>1530319.06</v>
      </c>
      <c r="I405" s="50">
        <f>ROUND(332.83*G405,2)-O405</f>
        <v>1488492.78</v>
      </c>
      <c r="J405" s="49">
        <v>0</v>
      </c>
      <c r="K405" s="49">
        <v>0</v>
      </c>
      <c r="L405" s="49">
        <v>0</v>
      </c>
      <c r="M405" s="49">
        <v>0</v>
      </c>
      <c r="N405" s="49">
        <v>0</v>
      </c>
      <c r="O405" s="49">
        <v>41826.28</v>
      </c>
      <c r="P405" s="49">
        <v>0</v>
      </c>
      <c r="Q405" s="49">
        <v>0</v>
      </c>
      <c r="R405" s="49">
        <v>0</v>
      </c>
      <c r="S405" s="94">
        <f>H405</f>
        <v>1530319.06</v>
      </c>
      <c r="T405" s="66">
        <v>2017</v>
      </c>
      <c r="U405" s="66">
        <v>2017</v>
      </c>
      <c r="V405" s="314" t="s">
        <v>145</v>
      </c>
      <c r="W405" s="140">
        <v>5</v>
      </c>
    </row>
    <row r="406" spans="1:23" s="24" customFormat="1" ht="15.75">
      <c r="A406" s="47">
        <f t="shared" si="44"/>
        <v>331</v>
      </c>
      <c r="B406" s="318" t="s">
        <v>428</v>
      </c>
      <c r="C406" s="417" t="s">
        <v>19</v>
      </c>
      <c r="D406" s="307"/>
      <c r="E406" s="417"/>
      <c r="F406" s="313">
        <v>2792.1</v>
      </c>
      <c r="G406" s="142">
        <v>1881.9</v>
      </c>
      <c r="H406" s="50">
        <f>I406+J406+K406+L406+M406+N406+O406</f>
        <v>1994606.99</v>
      </c>
      <c r="I406" s="50">
        <f>ROUND((727.06+332.83)*G406,2)-O406</f>
        <v>1874930.57</v>
      </c>
      <c r="J406" s="49">
        <v>0</v>
      </c>
      <c r="K406" s="49">
        <v>0</v>
      </c>
      <c r="L406" s="49">
        <v>0</v>
      </c>
      <c r="M406" s="49">
        <v>0</v>
      </c>
      <c r="N406" s="49">
        <v>0</v>
      </c>
      <c r="O406" s="49">
        <v>119676.42</v>
      </c>
      <c r="P406" s="49">
        <v>0</v>
      </c>
      <c r="Q406" s="49">
        <v>0</v>
      </c>
      <c r="R406" s="49">
        <v>0</v>
      </c>
      <c r="S406" s="94">
        <f>H406</f>
        <v>1994606.99</v>
      </c>
      <c r="T406" s="66">
        <v>2017</v>
      </c>
      <c r="U406" s="66">
        <v>2017</v>
      </c>
      <c r="V406" s="314" t="s">
        <v>145</v>
      </c>
      <c r="W406" s="66">
        <v>3</v>
      </c>
    </row>
    <row r="407" spans="1:23" s="24" customFormat="1" ht="15.75">
      <c r="A407" s="47">
        <f t="shared" si="44"/>
        <v>332</v>
      </c>
      <c r="B407" s="318" t="s">
        <v>431</v>
      </c>
      <c r="C407" s="310" t="s">
        <v>55</v>
      </c>
      <c r="D407" s="140"/>
      <c r="E407" s="310"/>
      <c r="F407" s="313">
        <v>2000.7</v>
      </c>
      <c r="G407" s="142">
        <v>1619</v>
      </c>
      <c r="H407" s="50">
        <f>I407+J407+K407+L407+M407+N407+O407</f>
        <v>1177110.1399999999</v>
      </c>
      <c r="I407" s="50">
        <f>ROUND(727.06*G407,2)-O407</f>
        <v>1106483.5299999998</v>
      </c>
      <c r="J407" s="49">
        <v>0</v>
      </c>
      <c r="K407" s="49">
        <v>0</v>
      </c>
      <c r="L407" s="49">
        <v>0</v>
      </c>
      <c r="M407" s="49">
        <v>0</v>
      </c>
      <c r="N407" s="49">
        <v>0</v>
      </c>
      <c r="O407" s="49">
        <v>70626.61</v>
      </c>
      <c r="P407" s="49">
        <v>0</v>
      </c>
      <c r="Q407" s="49">
        <v>0</v>
      </c>
      <c r="R407" s="49">
        <v>0</v>
      </c>
      <c r="S407" s="94">
        <f>H407</f>
        <v>1177110.1399999999</v>
      </c>
      <c r="T407" s="66">
        <v>2017</v>
      </c>
      <c r="U407" s="66">
        <v>2017</v>
      </c>
      <c r="V407" s="314" t="s">
        <v>145</v>
      </c>
      <c r="W407" s="66">
        <v>5</v>
      </c>
    </row>
    <row r="408" spans="1:23" s="24" customFormat="1" ht="15.75">
      <c r="A408" s="47">
        <f t="shared" si="44"/>
        <v>333</v>
      </c>
      <c r="B408" s="318" t="s">
        <v>432</v>
      </c>
      <c r="C408" s="310" t="s">
        <v>55</v>
      </c>
      <c r="D408" s="140"/>
      <c r="E408" s="310"/>
      <c r="F408" s="313">
        <v>1801.7</v>
      </c>
      <c r="G408" s="142">
        <v>1578.7</v>
      </c>
      <c r="H408" s="50">
        <f>I408+J408+K408+L408+M408+N408+O408</f>
        <v>1147809.6200000001</v>
      </c>
      <c r="I408" s="50">
        <f>ROUND(727.06*G408,2)-O408</f>
        <v>1078941.04</v>
      </c>
      <c r="J408" s="49">
        <v>0</v>
      </c>
      <c r="K408" s="49">
        <v>0</v>
      </c>
      <c r="L408" s="49">
        <v>0</v>
      </c>
      <c r="M408" s="49">
        <v>0</v>
      </c>
      <c r="N408" s="49">
        <v>0</v>
      </c>
      <c r="O408" s="49">
        <v>68868.58</v>
      </c>
      <c r="P408" s="49">
        <v>0</v>
      </c>
      <c r="Q408" s="49">
        <v>0</v>
      </c>
      <c r="R408" s="49">
        <v>0</v>
      </c>
      <c r="S408" s="94">
        <f>H408</f>
        <v>1147809.6200000001</v>
      </c>
      <c r="T408" s="66">
        <v>2017</v>
      </c>
      <c r="U408" s="66">
        <v>2017</v>
      </c>
      <c r="V408" s="314" t="s">
        <v>145</v>
      </c>
      <c r="W408" s="66">
        <v>5</v>
      </c>
    </row>
    <row r="409" spans="1:23" s="24" customFormat="1" ht="15.75">
      <c r="A409" s="47">
        <f t="shared" si="44"/>
        <v>334</v>
      </c>
      <c r="B409" s="318" t="s">
        <v>434</v>
      </c>
      <c r="C409" s="310" t="s">
        <v>93</v>
      </c>
      <c r="D409" s="140"/>
      <c r="E409" s="310"/>
      <c r="F409" s="313">
        <v>3863.2</v>
      </c>
      <c r="G409" s="142">
        <v>3530</v>
      </c>
      <c r="H409" s="50">
        <f>I409+J409+K409+L409+M409+N409+O409</f>
        <v>1174889.8999999999</v>
      </c>
      <c r="I409" s="50">
        <f>ROUND(332.83*G409,2)-O409</f>
        <v>1138032.5999999999</v>
      </c>
      <c r="J409" s="49">
        <v>0</v>
      </c>
      <c r="K409" s="49">
        <v>0</v>
      </c>
      <c r="L409" s="49">
        <v>0</v>
      </c>
      <c r="M409" s="49">
        <v>0</v>
      </c>
      <c r="N409" s="49">
        <v>0</v>
      </c>
      <c r="O409" s="49">
        <v>36857.300000000003</v>
      </c>
      <c r="P409" s="49">
        <v>0</v>
      </c>
      <c r="Q409" s="49">
        <v>0</v>
      </c>
      <c r="R409" s="49">
        <v>0</v>
      </c>
      <c r="S409" s="94">
        <f>H409</f>
        <v>1174889.8999999999</v>
      </c>
      <c r="T409" s="66">
        <v>2017</v>
      </c>
      <c r="U409" s="66">
        <v>2017</v>
      </c>
      <c r="V409" s="314" t="s">
        <v>144</v>
      </c>
      <c r="W409" s="66">
        <v>5</v>
      </c>
    </row>
    <row r="410" spans="1:23" s="24" customFormat="1" ht="15.75">
      <c r="A410" s="47">
        <f t="shared" si="44"/>
        <v>335</v>
      </c>
      <c r="B410" s="318" t="s">
        <v>433</v>
      </c>
      <c r="C410" s="310" t="s">
        <v>62</v>
      </c>
      <c r="D410" s="140"/>
      <c r="E410" s="310"/>
      <c r="F410" s="313">
        <v>1983.1</v>
      </c>
      <c r="G410" s="142">
        <v>1632.8</v>
      </c>
      <c r="H410" s="50">
        <f>I410+J410+K410+L410+M410+N410+O410</f>
        <v>1187143.57</v>
      </c>
      <c r="I410" s="50">
        <f>ROUND(727.06*G410,2)-O410</f>
        <v>1115914.96</v>
      </c>
      <c r="J410" s="49">
        <v>0</v>
      </c>
      <c r="K410" s="49">
        <v>0</v>
      </c>
      <c r="L410" s="49">
        <v>0</v>
      </c>
      <c r="M410" s="49">
        <v>0</v>
      </c>
      <c r="N410" s="49">
        <v>0</v>
      </c>
      <c r="O410" s="49">
        <v>71228.61</v>
      </c>
      <c r="P410" s="49">
        <v>0</v>
      </c>
      <c r="Q410" s="49">
        <v>0</v>
      </c>
      <c r="R410" s="49">
        <v>0</v>
      </c>
      <c r="S410" s="94">
        <f>H410</f>
        <v>1187143.57</v>
      </c>
      <c r="T410" s="66">
        <v>2017</v>
      </c>
      <c r="U410" s="66">
        <v>2017</v>
      </c>
      <c r="V410" s="67" t="s">
        <v>145</v>
      </c>
      <c r="W410" s="66">
        <v>5</v>
      </c>
    </row>
    <row r="411" spans="1:23" s="24" customFormat="1" ht="15.75">
      <c r="A411" s="47">
        <f t="shared" si="44"/>
        <v>336</v>
      </c>
      <c r="B411" s="318" t="s">
        <v>435</v>
      </c>
      <c r="C411" s="310" t="s">
        <v>19</v>
      </c>
      <c r="D411" s="140"/>
      <c r="E411" s="310"/>
      <c r="F411" s="313">
        <v>1313.4</v>
      </c>
      <c r="G411" s="142">
        <v>1161.7</v>
      </c>
      <c r="H411" s="50">
        <f>I411+J411+K411+L411+M411+N411+O411</f>
        <v>1404588.24</v>
      </c>
      <c r="I411" s="50">
        <f>ROUND((191.67+290.35+727.06)*G411,2)-O411</f>
        <v>1320312.95</v>
      </c>
      <c r="J411" s="49">
        <v>0</v>
      </c>
      <c r="K411" s="49">
        <v>0</v>
      </c>
      <c r="L411" s="49">
        <v>0</v>
      </c>
      <c r="M411" s="49">
        <v>0</v>
      </c>
      <c r="N411" s="49">
        <v>0</v>
      </c>
      <c r="O411" s="49">
        <v>84275.29</v>
      </c>
      <c r="P411" s="49">
        <v>0</v>
      </c>
      <c r="Q411" s="49">
        <v>0</v>
      </c>
      <c r="R411" s="49">
        <v>0</v>
      </c>
      <c r="S411" s="94">
        <f>H411</f>
        <v>1404588.24</v>
      </c>
      <c r="T411" s="66">
        <v>2017</v>
      </c>
      <c r="U411" s="66">
        <v>2017</v>
      </c>
      <c r="V411" s="314" t="s">
        <v>145</v>
      </c>
      <c r="W411" s="66">
        <v>3</v>
      </c>
    </row>
    <row r="412" spans="1:23" s="24" customFormat="1" ht="15.75">
      <c r="A412" s="47">
        <f t="shared" si="44"/>
        <v>337</v>
      </c>
      <c r="B412" s="318" t="s">
        <v>436</v>
      </c>
      <c r="C412" s="310" t="s">
        <v>71</v>
      </c>
      <c r="D412" s="140"/>
      <c r="E412" s="310"/>
      <c r="F412" s="313">
        <v>1397.5</v>
      </c>
      <c r="G412" s="142">
        <v>1284.5999999999999</v>
      </c>
      <c r="H412" s="50">
        <f>I412+J412+K412+L412+M412+N412+O412</f>
        <v>427553.42</v>
      </c>
      <c r="I412" s="50">
        <f>ROUND(332.83*G412,2)-O412</f>
        <v>401900.20999999996</v>
      </c>
      <c r="J412" s="49">
        <v>0</v>
      </c>
      <c r="K412" s="49">
        <v>0</v>
      </c>
      <c r="L412" s="49">
        <v>0</v>
      </c>
      <c r="M412" s="49">
        <v>0</v>
      </c>
      <c r="N412" s="49">
        <v>0</v>
      </c>
      <c r="O412" s="49">
        <v>25653.21</v>
      </c>
      <c r="P412" s="49">
        <v>0</v>
      </c>
      <c r="Q412" s="49">
        <v>0</v>
      </c>
      <c r="R412" s="49">
        <v>0</v>
      </c>
      <c r="S412" s="94">
        <f>H412</f>
        <v>427553.42</v>
      </c>
      <c r="T412" s="66">
        <v>2017</v>
      </c>
      <c r="U412" s="66">
        <v>2017</v>
      </c>
      <c r="V412" s="314" t="s">
        <v>145</v>
      </c>
      <c r="W412" s="66">
        <v>5</v>
      </c>
    </row>
    <row r="413" spans="1:23" s="24" customFormat="1" ht="15.75">
      <c r="A413" s="47">
        <f t="shared" si="44"/>
        <v>338</v>
      </c>
      <c r="B413" s="318" t="s">
        <v>438</v>
      </c>
      <c r="C413" s="310" t="s">
        <v>19</v>
      </c>
      <c r="D413" s="140"/>
      <c r="E413" s="310"/>
      <c r="F413" s="313">
        <v>1499.5</v>
      </c>
      <c r="G413" s="142">
        <v>1174.5999999999999</v>
      </c>
      <c r="H413" s="50">
        <f>I413+J413+K413+L413+M413+N413+O413</f>
        <v>1420185.37</v>
      </c>
      <c r="I413" s="50">
        <f>ROUND((191.67+290.35+727.06)*G413,2)-O413</f>
        <v>1334974.25</v>
      </c>
      <c r="J413" s="49">
        <v>0</v>
      </c>
      <c r="K413" s="49">
        <v>0</v>
      </c>
      <c r="L413" s="49">
        <v>0</v>
      </c>
      <c r="M413" s="49">
        <v>0</v>
      </c>
      <c r="N413" s="49">
        <v>0</v>
      </c>
      <c r="O413" s="49">
        <v>85211.12</v>
      </c>
      <c r="P413" s="49">
        <v>0</v>
      </c>
      <c r="Q413" s="49">
        <v>0</v>
      </c>
      <c r="R413" s="49">
        <v>0</v>
      </c>
      <c r="S413" s="94">
        <f>H413</f>
        <v>1420185.37</v>
      </c>
      <c r="T413" s="66">
        <v>2017</v>
      </c>
      <c r="U413" s="66">
        <v>2017</v>
      </c>
      <c r="V413" s="314" t="s">
        <v>145</v>
      </c>
      <c r="W413" s="66">
        <v>3</v>
      </c>
    </row>
    <row r="414" spans="1:23" s="24" customFormat="1" ht="15.75">
      <c r="A414" s="47">
        <f t="shared" si="44"/>
        <v>339</v>
      </c>
      <c r="B414" s="318" t="s">
        <v>439</v>
      </c>
      <c r="C414" s="310" t="s">
        <v>93</v>
      </c>
      <c r="D414" s="140"/>
      <c r="E414" s="310"/>
      <c r="F414" s="313">
        <v>2795.8</v>
      </c>
      <c r="G414" s="142">
        <v>2579.4</v>
      </c>
      <c r="H414" s="50">
        <f>I414+J414+K414+L414+M414+N414+O414</f>
        <v>1875378.56</v>
      </c>
      <c r="I414" s="50">
        <f>ROUND(727.06*G414,2)-O414</f>
        <v>1773362.84</v>
      </c>
      <c r="J414" s="49">
        <v>0</v>
      </c>
      <c r="K414" s="49">
        <v>0</v>
      </c>
      <c r="L414" s="49">
        <v>0</v>
      </c>
      <c r="M414" s="49">
        <v>0</v>
      </c>
      <c r="N414" s="49">
        <v>0</v>
      </c>
      <c r="O414" s="49">
        <v>102015.72</v>
      </c>
      <c r="P414" s="49">
        <v>0</v>
      </c>
      <c r="Q414" s="49">
        <v>0</v>
      </c>
      <c r="R414" s="49">
        <v>0</v>
      </c>
      <c r="S414" s="94">
        <f>H414</f>
        <v>1875378.56</v>
      </c>
      <c r="T414" s="66">
        <v>2017</v>
      </c>
      <c r="U414" s="66">
        <v>2017</v>
      </c>
      <c r="V414" s="314" t="s">
        <v>145</v>
      </c>
      <c r="W414" s="66">
        <v>5</v>
      </c>
    </row>
    <row r="415" spans="1:23" s="24" customFormat="1" ht="15.75">
      <c r="A415" s="47">
        <f t="shared" si="44"/>
        <v>340</v>
      </c>
      <c r="B415" s="318" t="s">
        <v>437</v>
      </c>
      <c r="C415" s="310" t="s">
        <v>93</v>
      </c>
      <c r="D415" s="140"/>
      <c r="E415" s="310"/>
      <c r="F415" s="313">
        <v>2748.6</v>
      </c>
      <c r="G415" s="142">
        <v>2547.6</v>
      </c>
      <c r="H415" s="50">
        <f>I415+J415+K415+L415+M415+N415+O415</f>
        <v>1227994.1499999999</v>
      </c>
      <c r="I415" s="50">
        <f>ROUND((191.67+290.35)*G415,2)-O415</f>
        <v>1154314.5</v>
      </c>
      <c r="J415" s="49">
        <v>0</v>
      </c>
      <c r="K415" s="49">
        <v>0</v>
      </c>
      <c r="L415" s="49">
        <v>0</v>
      </c>
      <c r="M415" s="49">
        <v>0</v>
      </c>
      <c r="N415" s="49">
        <v>0</v>
      </c>
      <c r="O415" s="49">
        <v>73679.649999999994</v>
      </c>
      <c r="P415" s="49">
        <v>0</v>
      </c>
      <c r="Q415" s="49">
        <v>0</v>
      </c>
      <c r="R415" s="49">
        <v>0</v>
      </c>
      <c r="S415" s="94">
        <f>H415</f>
        <v>1227994.1499999999</v>
      </c>
      <c r="T415" s="66">
        <v>2017</v>
      </c>
      <c r="U415" s="66">
        <v>2017</v>
      </c>
      <c r="V415" s="314" t="s">
        <v>145</v>
      </c>
      <c r="W415" s="66">
        <v>5</v>
      </c>
    </row>
    <row r="416" spans="1:23" s="24" customFormat="1" ht="15.75">
      <c r="A416" s="47">
        <f t="shared" si="44"/>
        <v>341</v>
      </c>
      <c r="B416" s="318" t="s">
        <v>440</v>
      </c>
      <c r="C416" s="310" t="s">
        <v>63</v>
      </c>
      <c r="D416" s="140"/>
      <c r="E416" s="310"/>
      <c r="F416" s="313">
        <v>4162.8</v>
      </c>
      <c r="G416" s="142">
        <v>3401.2</v>
      </c>
      <c r="H416" s="50">
        <f>I416+J416+K416+L416+M416+N416+O416</f>
        <v>1639446.42</v>
      </c>
      <c r="I416" s="50">
        <f>ROUND((191.67+290.35)*G416,2)-O416</f>
        <v>1541079.63</v>
      </c>
      <c r="J416" s="49">
        <v>0</v>
      </c>
      <c r="K416" s="49">
        <v>0</v>
      </c>
      <c r="L416" s="49">
        <v>0</v>
      </c>
      <c r="M416" s="49">
        <v>0</v>
      </c>
      <c r="N416" s="49">
        <v>0</v>
      </c>
      <c r="O416" s="49">
        <v>98366.79</v>
      </c>
      <c r="P416" s="49">
        <v>0</v>
      </c>
      <c r="Q416" s="49">
        <v>0</v>
      </c>
      <c r="R416" s="49">
        <v>0</v>
      </c>
      <c r="S416" s="94">
        <f>H416</f>
        <v>1639446.42</v>
      </c>
      <c r="T416" s="66">
        <v>2017</v>
      </c>
      <c r="U416" s="66">
        <v>2017</v>
      </c>
      <c r="V416" s="314" t="s">
        <v>145</v>
      </c>
      <c r="W416" s="66">
        <v>5</v>
      </c>
    </row>
    <row r="417" spans="1:23" s="24" customFormat="1" ht="15.75">
      <c r="A417" s="47">
        <f t="shared" si="44"/>
        <v>342</v>
      </c>
      <c r="B417" s="318" t="s">
        <v>441</v>
      </c>
      <c r="C417" s="310" t="s">
        <v>93</v>
      </c>
      <c r="D417" s="140"/>
      <c r="E417" s="310"/>
      <c r="F417" s="313">
        <v>1821.6</v>
      </c>
      <c r="G417" s="142">
        <v>1613.6</v>
      </c>
      <c r="H417" s="50">
        <f>I417+J417+K417+L417+M417+N417+O417</f>
        <v>777787.47</v>
      </c>
      <c r="I417" s="50">
        <f>ROUND((191.67+290.35)*G417,2)-O417</f>
        <v>731120.22</v>
      </c>
      <c r="J417" s="49">
        <v>0</v>
      </c>
      <c r="K417" s="49">
        <v>0</v>
      </c>
      <c r="L417" s="49">
        <v>0</v>
      </c>
      <c r="M417" s="49">
        <v>0</v>
      </c>
      <c r="N417" s="49">
        <v>0</v>
      </c>
      <c r="O417" s="49">
        <v>46667.25</v>
      </c>
      <c r="P417" s="49">
        <v>0</v>
      </c>
      <c r="Q417" s="49">
        <v>0</v>
      </c>
      <c r="R417" s="49">
        <v>0</v>
      </c>
      <c r="S417" s="94">
        <f>H417</f>
        <v>777787.47</v>
      </c>
      <c r="T417" s="66">
        <v>2017</v>
      </c>
      <c r="U417" s="66">
        <v>2017</v>
      </c>
      <c r="V417" s="314" t="s">
        <v>145</v>
      </c>
      <c r="W417" s="66">
        <v>5</v>
      </c>
    </row>
    <row r="418" spans="1:23" s="24" customFormat="1" ht="15.75">
      <c r="A418" s="47">
        <f t="shared" si="44"/>
        <v>343</v>
      </c>
      <c r="B418" s="318" t="s">
        <v>464</v>
      </c>
      <c r="C418" s="319">
        <v>1984</v>
      </c>
      <c r="D418" s="319"/>
      <c r="E418" s="319"/>
      <c r="F418" s="313">
        <v>15826.6</v>
      </c>
      <c r="G418" s="142">
        <v>12548.8</v>
      </c>
      <c r="H418" s="50">
        <f>I418+J418+K418+L418+M418+N418+O418</f>
        <v>3037801.66</v>
      </c>
      <c r="I418" s="34">
        <v>0</v>
      </c>
      <c r="J418" s="320">
        <f>1*3037801.66</f>
        <v>3037801.66</v>
      </c>
      <c r="K418" s="49">
        <v>0</v>
      </c>
      <c r="L418" s="49">
        <v>0</v>
      </c>
      <c r="M418" s="49">
        <v>0</v>
      </c>
      <c r="N418" s="49">
        <v>0</v>
      </c>
      <c r="O418" s="49">
        <v>0</v>
      </c>
      <c r="P418" s="49">
        <v>0</v>
      </c>
      <c r="Q418" s="49">
        <v>0</v>
      </c>
      <c r="R418" s="49">
        <v>0</v>
      </c>
      <c r="S418" s="94">
        <f>H418</f>
        <v>3037801.66</v>
      </c>
      <c r="T418" s="66">
        <v>2017</v>
      </c>
      <c r="U418" s="66">
        <v>2017</v>
      </c>
      <c r="V418" s="67" t="s">
        <v>144</v>
      </c>
      <c r="W418" s="66">
        <v>9</v>
      </c>
    </row>
    <row r="419" spans="1:23" ht="15.75">
      <c r="A419" s="327" t="s">
        <v>263</v>
      </c>
      <c r="B419" s="333"/>
      <c r="C419" s="47"/>
      <c r="D419" s="234"/>
      <c r="E419" s="235"/>
      <c r="F419" s="65">
        <f t="shared" ref="F419:O419" si="45">SUM(F401:F418)</f>
        <v>58904.6</v>
      </c>
      <c r="G419" s="65">
        <f t="shared" si="45"/>
        <v>49618.299999999988</v>
      </c>
      <c r="H419" s="52">
        <f t="shared" si="45"/>
        <v>24331029.689999994</v>
      </c>
      <c r="I419" s="46">
        <f t="shared" si="45"/>
        <v>20141827.239999998</v>
      </c>
      <c r="J419" s="46">
        <f t="shared" si="45"/>
        <v>3037801.66</v>
      </c>
      <c r="K419" s="46">
        <f t="shared" si="45"/>
        <v>0</v>
      </c>
      <c r="L419" s="46">
        <f t="shared" si="45"/>
        <v>0</v>
      </c>
      <c r="M419" s="46">
        <f t="shared" si="45"/>
        <v>0</v>
      </c>
      <c r="N419" s="46">
        <f t="shared" si="45"/>
        <v>0</v>
      </c>
      <c r="O419" s="46">
        <f t="shared" si="45"/>
        <v>1151400.79</v>
      </c>
      <c r="P419" s="46">
        <f>SUM(P401:P418)</f>
        <v>0</v>
      </c>
      <c r="Q419" s="46">
        <f>SUM(Q401:Q418)</f>
        <v>0</v>
      </c>
      <c r="R419" s="46">
        <f>SUM(R401:R418)</f>
        <v>0</v>
      </c>
      <c r="S419" s="96">
        <f>SUM(S401:S418)</f>
        <v>24331029.689999994</v>
      </c>
      <c r="T419" s="22" t="s">
        <v>113</v>
      </c>
      <c r="U419" s="22" t="s">
        <v>113</v>
      </c>
    </row>
    <row r="420" spans="1:23" ht="15.75">
      <c r="A420" s="329" t="s">
        <v>90</v>
      </c>
      <c r="B420" s="330"/>
      <c r="C420" s="330"/>
      <c r="D420" s="330"/>
      <c r="E420" s="331"/>
      <c r="F420" s="330"/>
      <c r="G420" s="330"/>
      <c r="H420" s="330"/>
      <c r="I420" s="330"/>
      <c r="J420" s="330"/>
      <c r="K420" s="330"/>
      <c r="L420" s="330"/>
      <c r="M420" s="330"/>
      <c r="N420" s="330"/>
      <c r="O420" s="330"/>
      <c r="P420" s="330"/>
      <c r="Q420" s="330"/>
      <c r="R420" s="330"/>
      <c r="S420" s="332"/>
      <c r="T420" s="23"/>
      <c r="U420" s="23"/>
    </row>
    <row r="421" spans="1:23" s="24" customFormat="1" ht="15.75">
      <c r="A421" s="47">
        <f>A418+1</f>
        <v>344</v>
      </c>
      <c r="B421" s="68" t="s">
        <v>383</v>
      </c>
      <c r="C421" s="47">
        <v>1958</v>
      </c>
      <c r="D421" s="47"/>
      <c r="E421" s="47"/>
      <c r="F421" s="69">
        <v>417.3</v>
      </c>
      <c r="G421" s="69">
        <v>376.5</v>
      </c>
      <c r="H421" s="50">
        <f>I421+J421+K421+L421+M421+N421+O421</f>
        <v>281765.07</v>
      </c>
      <c r="I421" s="44">
        <f>ROUND(748.38*G421,2)-O421</f>
        <v>264859.17</v>
      </c>
      <c r="J421" s="49"/>
      <c r="K421" s="49">
        <v>0</v>
      </c>
      <c r="L421" s="49"/>
      <c r="M421" s="49">
        <v>0</v>
      </c>
      <c r="N421" s="49">
        <v>0</v>
      </c>
      <c r="O421" s="49">
        <v>16905.900000000001</v>
      </c>
      <c r="P421" s="49">
        <v>0</v>
      </c>
      <c r="Q421" s="49">
        <v>0</v>
      </c>
      <c r="R421" s="49">
        <v>0</v>
      </c>
      <c r="S421" s="94">
        <f>H421</f>
        <v>281765.07</v>
      </c>
      <c r="T421" s="66">
        <v>2017</v>
      </c>
      <c r="U421" s="66">
        <v>2017</v>
      </c>
      <c r="V421" s="141" t="s">
        <v>145</v>
      </c>
      <c r="W421" s="47">
        <v>2</v>
      </c>
    </row>
    <row r="422" spans="1:23" s="24" customFormat="1" ht="15.75">
      <c r="A422" s="47">
        <f>A421+1</f>
        <v>345</v>
      </c>
      <c r="B422" s="68" t="s">
        <v>377</v>
      </c>
      <c r="C422" s="47">
        <v>1949</v>
      </c>
      <c r="D422" s="47"/>
      <c r="E422" s="47"/>
      <c r="F422" s="69">
        <v>1555.6</v>
      </c>
      <c r="G422" s="69">
        <v>1376.6</v>
      </c>
      <c r="H422" s="50">
        <f>I422+J422+K422+L422+M422+N422+O422</f>
        <v>1000870.8</v>
      </c>
      <c r="I422" s="44">
        <f>ROUND(727.06*G422,2)-O422</f>
        <v>940818.55</v>
      </c>
      <c r="J422" s="49"/>
      <c r="K422" s="49">
        <v>0</v>
      </c>
      <c r="L422" s="49"/>
      <c r="M422" s="49">
        <v>0</v>
      </c>
      <c r="N422" s="49">
        <v>0</v>
      </c>
      <c r="O422" s="49">
        <v>60052.25</v>
      </c>
      <c r="P422" s="49">
        <v>0</v>
      </c>
      <c r="Q422" s="49">
        <v>0</v>
      </c>
      <c r="R422" s="49">
        <v>0</v>
      </c>
      <c r="S422" s="94">
        <f>H422</f>
        <v>1000870.8</v>
      </c>
      <c r="T422" s="66">
        <v>2017</v>
      </c>
      <c r="U422" s="66">
        <v>2017</v>
      </c>
      <c r="V422" s="141" t="s">
        <v>145</v>
      </c>
      <c r="W422" s="47">
        <v>3</v>
      </c>
    </row>
    <row r="423" spans="1:23" s="24" customFormat="1" ht="15.75">
      <c r="A423" s="47">
        <f t="shared" ref="A423:A437" si="46">A422+1</f>
        <v>346</v>
      </c>
      <c r="B423" s="68" t="s">
        <v>373</v>
      </c>
      <c r="C423" s="47">
        <v>1951</v>
      </c>
      <c r="D423" s="47"/>
      <c r="E423" s="47"/>
      <c r="F423" s="69">
        <v>1722</v>
      </c>
      <c r="G423" s="69">
        <v>1235.9000000000001</v>
      </c>
      <c r="H423" s="50">
        <f>I423+J423+K423+L423+M423+N423+O423</f>
        <v>1414808.88</v>
      </c>
      <c r="I423" s="401">
        <v>0</v>
      </c>
      <c r="J423" s="49"/>
      <c r="K423" s="49">
        <v>0</v>
      </c>
      <c r="L423" s="49"/>
      <c r="M423" s="49">
        <f>ROUND(1144.76*G423,2)-O423</f>
        <v>1329920.3499999999</v>
      </c>
      <c r="N423" s="49">
        <v>0</v>
      </c>
      <c r="O423" s="49">
        <v>84888.53</v>
      </c>
      <c r="P423" s="49">
        <v>0</v>
      </c>
      <c r="Q423" s="49">
        <v>0</v>
      </c>
      <c r="R423" s="49">
        <v>0</v>
      </c>
      <c r="S423" s="94">
        <f>H423</f>
        <v>1414808.88</v>
      </c>
      <c r="T423" s="66">
        <v>2017</v>
      </c>
      <c r="U423" s="66">
        <v>2017</v>
      </c>
      <c r="V423" s="141" t="s">
        <v>145</v>
      </c>
      <c r="W423" s="47">
        <v>3</v>
      </c>
    </row>
    <row r="424" spans="1:23" s="24" customFormat="1" ht="15.75">
      <c r="A424" s="47">
        <f t="shared" si="46"/>
        <v>347</v>
      </c>
      <c r="B424" s="68" t="s">
        <v>376</v>
      </c>
      <c r="C424" s="47">
        <v>1958</v>
      </c>
      <c r="D424" s="47"/>
      <c r="E424" s="47"/>
      <c r="F424" s="69">
        <v>2418.1</v>
      </c>
      <c r="G424" s="69">
        <v>1242</v>
      </c>
      <c r="H424" s="50">
        <f>I424+J424+K424+L424+M424+N424+O424</f>
        <v>903008.52</v>
      </c>
      <c r="I424" s="44">
        <f>ROUND(727.06*G424,2)-O424</f>
        <v>848828.01</v>
      </c>
      <c r="J424" s="49"/>
      <c r="K424" s="49">
        <v>0</v>
      </c>
      <c r="L424" s="49"/>
      <c r="M424" s="49">
        <v>0</v>
      </c>
      <c r="N424" s="49">
        <v>0</v>
      </c>
      <c r="O424" s="49">
        <v>54180.51</v>
      </c>
      <c r="P424" s="49">
        <v>0</v>
      </c>
      <c r="Q424" s="49">
        <v>0</v>
      </c>
      <c r="R424" s="49">
        <v>0</v>
      </c>
      <c r="S424" s="94">
        <f>H424</f>
        <v>903008.52</v>
      </c>
      <c r="T424" s="66">
        <v>2017</v>
      </c>
      <c r="U424" s="66">
        <v>2017</v>
      </c>
      <c r="V424" s="141" t="s">
        <v>145</v>
      </c>
      <c r="W424" s="47">
        <v>3</v>
      </c>
    </row>
    <row r="425" spans="1:23" s="24" customFormat="1" ht="15.75">
      <c r="A425" s="47">
        <f t="shared" si="46"/>
        <v>348</v>
      </c>
      <c r="B425" s="68" t="s">
        <v>374</v>
      </c>
      <c r="C425" s="47">
        <v>1952</v>
      </c>
      <c r="D425" s="47"/>
      <c r="E425" s="47"/>
      <c r="F425" s="69">
        <v>1633.4</v>
      </c>
      <c r="G425" s="69">
        <v>1398.2</v>
      </c>
      <c r="H425" s="50">
        <f>I425+J425+K425+L425+M425+N425+O425</f>
        <v>414776.03</v>
      </c>
      <c r="I425" s="50">
        <v>0</v>
      </c>
      <c r="J425" s="49"/>
      <c r="K425" s="49">
        <v>0</v>
      </c>
      <c r="L425" s="49"/>
      <c r="M425" s="49">
        <v>0</v>
      </c>
      <c r="N425" s="308">
        <f>ROUND(296.65*G425,2)-O425</f>
        <v>389889.47000000003</v>
      </c>
      <c r="O425" s="49">
        <v>24886.560000000001</v>
      </c>
      <c r="P425" s="49">
        <v>0</v>
      </c>
      <c r="Q425" s="49">
        <v>0</v>
      </c>
      <c r="R425" s="49">
        <v>0</v>
      </c>
      <c r="S425" s="94">
        <f>H425</f>
        <v>414776.03</v>
      </c>
      <c r="T425" s="66">
        <v>2017</v>
      </c>
      <c r="U425" s="66">
        <v>2017</v>
      </c>
      <c r="V425" s="141" t="s">
        <v>145</v>
      </c>
      <c r="W425" s="47">
        <v>3</v>
      </c>
    </row>
    <row r="426" spans="1:23" s="24" customFormat="1" ht="15.75">
      <c r="A426" s="47">
        <f t="shared" si="46"/>
        <v>349</v>
      </c>
      <c r="B426" s="68" t="s">
        <v>379</v>
      </c>
      <c r="C426" s="47">
        <v>1954</v>
      </c>
      <c r="D426" s="47"/>
      <c r="E426" s="47"/>
      <c r="F426" s="69">
        <v>3738.9</v>
      </c>
      <c r="G426" s="69">
        <v>2757.6</v>
      </c>
      <c r="H426" s="50">
        <f>I426+J426+K426+L426+M426+N426+O426</f>
        <v>3156790.18</v>
      </c>
      <c r="I426" s="50">
        <v>0</v>
      </c>
      <c r="J426" s="49">
        <v>0</v>
      </c>
      <c r="K426" s="71">
        <v>0</v>
      </c>
      <c r="L426" s="49">
        <v>0</v>
      </c>
      <c r="M426" s="49">
        <f>ROUND(1144.76*G426,2)-O426</f>
        <v>3001689.8000000003</v>
      </c>
      <c r="N426" s="49">
        <v>0</v>
      </c>
      <c r="O426" s="49">
        <v>155100.38</v>
      </c>
      <c r="P426" s="49">
        <v>0</v>
      </c>
      <c r="Q426" s="49">
        <v>0</v>
      </c>
      <c r="R426" s="49">
        <v>0</v>
      </c>
      <c r="S426" s="94">
        <f>H426</f>
        <v>3156790.18</v>
      </c>
      <c r="T426" s="66">
        <v>2017</v>
      </c>
      <c r="U426" s="66">
        <v>2017</v>
      </c>
      <c r="V426" s="141" t="s">
        <v>145</v>
      </c>
      <c r="W426" s="47">
        <v>4</v>
      </c>
    </row>
    <row r="427" spans="1:23" s="24" customFormat="1" ht="15.75">
      <c r="A427" s="47">
        <f t="shared" si="46"/>
        <v>350</v>
      </c>
      <c r="B427" s="68" t="s">
        <v>380</v>
      </c>
      <c r="C427" s="47">
        <v>1959</v>
      </c>
      <c r="D427" s="47"/>
      <c r="E427" s="47"/>
      <c r="F427" s="69">
        <v>4932</v>
      </c>
      <c r="G427" s="69">
        <v>4080.8</v>
      </c>
      <c r="H427" s="50">
        <f>I427+J427+K427+L427+M427+N427+O427</f>
        <v>2966986.45</v>
      </c>
      <c r="I427" s="396">
        <f>ROUND(727.06*G427,2)-O427</f>
        <v>2788967.2600000002</v>
      </c>
      <c r="J427" s="49">
        <v>0</v>
      </c>
      <c r="K427" s="49">
        <v>0</v>
      </c>
      <c r="L427" s="49">
        <v>0</v>
      </c>
      <c r="M427" s="71">
        <v>0</v>
      </c>
      <c r="N427" s="49">
        <v>0</v>
      </c>
      <c r="O427" s="49">
        <v>178019.19</v>
      </c>
      <c r="P427" s="49">
        <v>0</v>
      </c>
      <c r="Q427" s="49">
        <v>0</v>
      </c>
      <c r="R427" s="49">
        <v>0</v>
      </c>
      <c r="S427" s="94">
        <f>H427</f>
        <v>2966986.45</v>
      </c>
      <c r="T427" s="66">
        <v>2017</v>
      </c>
      <c r="U427" s="66">
        <v>2017</v>
      </c>
      <c r="V427" s="141" t="s">
        <v>145</v>
      </c>
      <c r="W427" s="47">
        <v>4</v>
      </c>
    </row>
    <row r="428" spans="1:23" s="24" customFormat="1" ht="15.75">
      <c r="A428" s="47">
        <f t="shared" si="46"/>
        <v>351</v>
      </c>
      <c r="B428" s="68" t="s">
        <v>381</v>
      </c>
      <c r="C428" s="47">
        <v>1963</v>
      </c>
      <c r="D428" s="47"/>
      <c r="E428" s="47"/>
      <c r="F428" s="69">
        <v>4272.6000000000004</v>
      </c>
      <c r="G428" s="69">
        <v>2262.4</v>
      </c>
      <c r="H428" s="50">
        <f>I428+J428+K428+L428+M428+N428+O428</f>
        <v>1644900.54</v>
      </c>
      <c r="I428" s="396">
        <f>ROUND(727.06*G428,2)-O428</f>
        <v>1546206.51</v>
      </c>
      <c r="J428" s="49">
        <v>0</v>
      </c>
      <c r="K428" s="49">
        <v>0</v>
      </c>
      <c r="L428" s="49">
        <v>0</v>
      </c>
      <c r="M428" s="49">
        <v>0</v>
      </c>
      <c r="N428" s="308">
        <v>0</v>
      </c>
      <c r="O428" s="49">
        <v>98694.03</v>
      </c>
      <c r="P428" s="49">
        <v>0</v>
      </c>
      <c r="Q428" s="49">
        <v>0</v>
      </c>
      <c r="R428" s="49">
        <v>0</v>
      </c>
      <c r="S428" s="94">
        <f>H428</f>
        <v>1644900.54</v>
      </c>
      <c r="T428" s="66">
        <v>2017</v>
      </c>
      <c r="U428" s="66">
        <v>2017</v>
      </c>
      <c r="V428" s="141" t="s">
        <v>145</v>
      </c>
      <c r="W428" s="47">
        <v>5</v>
      </c>
    </row>
    <row r="429" spans="1:23" s="24" customFormat="1" ht="15.75">
      <c r="A429" s="47">
        <f t="shared" si="46"/>
        <v>352</v>
      </c>
      <c r="B429" s="68" t="s">
        <v>372</v>
      </c>
      <c r="C429" s="47">
        <v>1958</v>
      </c>
      <c r="D429" s="47"/>
      <c r="E429" s="47"/>
      <c r="F429" s="69">
        <v>2920.1</v>
      </c>
      <c r="G429" s="69">
        <v>2681.5</v>
      </c>
      <c r="H429" s="50">
        <f>I429+J429+K429+L429+M429+N429+O429</f>
        <v>2832066.23</v>
      </c>
      <c r="I429" s="401">
        <v>0</v>
      </c>
      <c r="J429" s="49"/>
      <c r="K429" s="49">
        <f>ROUND(1056.15*G429,2)-O429</f>
        <v>2739339.47</v>
      </c>
      <c r="L429" s="49"/>
      <c r="M429" s="49">
        <v>0</v>
      </c>
      <c r="N429" s="49">
        <v>0</v>
      </c>
      <c r="O429" s="49">
        <v>92726.76</v>
      </c>
      <c r="P429" s="49">
        <v>0</v>
      </c>
      <c r="Q429" s="49">
        <v>0</v>
      </c>
      <c r="R429" s="49">
        <v>0</v>
      </c>
      <c r="S429" s="94">
        <f>H429</f>
        <v>2832066.23</v>
      </c>
      <c r="T429" s="66">
        <v>2017</v>
      </c>
      <c r="U429" s="66">
        <v>2017</v>
      </c>
      <c r="V429" s="141" t="s">
        <v>145</v>
      </c>
      <c r="W429" s="47">
        <v>4</v>
      </c>
    </row>
    <row r="430" spans="1:23" s="24" customFormat="1" ht="15.75">
      <c r="A430" s="47">
        <f t="shared" si="46"/>
        <v>353</v>
      </c>
      <c r="B430" s="68" t="s">
        <v>369</v>
      </c>
      <c r="C430" s="47">
        <v>1951</v>
      </c>
      <c r="D430" s="47"/>
      <c r="E430" s="47"/>
      <c r="F430" s="69">
        <v>1551.8</v>
      </c>
      <c r="G430" s="69">
        <v>1410.1</v>
      </c>
      <c r="H430" s="50">
        <f>I430+J430+K430+L430+M430+N430+O430</f>
        <v>1025227.31</v>
      </c>
      <c r="I430" s="44">
        <f>ROUND(727.06*G430,2)-O430</f>
        <v>963713.67</v>
      </c>
      <c r="J430" s="49">
        <v>0</v>
      </c>
      <c r="K430" s="49">
        <v>0</v>
      </c>
      <c r="L430" s="49">
        <v>0</v>
      </c>
      <c r="M430" s="49">
        <v>0</v>
      </c>
      <c r="N430" s="49">
        <v>0</v>
      </c>
      <c r="O430" s="49">
        <v>61513.64</v>
      </c>
      <c r="P430" s="49">
        <v>0</v>
      </c>
      <c r="Q430" s="49">
        <v>0</v>
      </c>
      <c r="R430" s="49">
        <v>0</v>
      </c>
      <c r="S430" s="94">
        <f>H430</f>
        <v>1025227.31</v>
      </c>
      <c r="T430" s="66">
        <v>2017</v>
      </c>
      <c r="U430" s="66">
        <v>2017</v>
      </c>
      <c r="V430" s="141" t="s">
        <v>145</v>
      </c>
      <c r="W430" s="47">
        <v>3</v>
      </c>
    </row>
    <row r="431" spans="1:23" s="24" customFormat="1" ht="15.75">
      <c r="A431" s="47">
        <f t="shared" si="46"/>
        <v>354</v>
      </c>
      <c r="B431" s="48" t="s">
        <v>370</v>
      </c>
      <c r="C431" s="47">
        <v>1955</v>
      </c>
      <c r="D431" s="47"/>
      <c r="E431" s="47"/>
      <c r="F431" s="69">
        <v>432.9</v>
      </c>
      <c r="G431" s="69">
        <v>388.4</v>
      </c>
      <c r="H431" s="50">
        <f>I431+J431+K431+L431+M431+N431+O431</f>
        <v>483375.45000000007</v>
      </c>
      <c r="I431" s="44">
        <f>ROUND((748.38+197.29+298.86)*G431,2)-O431</f>
        <v>454372.92000000004</v>
      </c>
      <c r="J431" s="49"/>
      <c r="K431" s="49">
        <v>0</v>
      </c>
      <c r="L431" s="49"/>
      <c r="M431" s="49">
        <v>0</v>
      </c>
      <c r="N431" s="49">
        <v>0</v>
      </c>
      <c r="O431" s="49">
        <v>29002.53</v>
      </c>
      <c r="P431" s="49">
        <v>0</v>
      </c>
      <c r="Q431" s="49">
        <v>0</v>
      </c>
      <c r="R431" s="49">
        <v>0</v>
      </c>
      <c r="S431" s="94">
        <f>H431</f>
        <v>483375.45000000007</v>
      </c>
      <c r="T431" s="66">
        <v>2017</v>
      </c>
      <c r="U431" s="66">
        <v>2017</v>
      </c>
      <c r="V431" s="141" t="s">
        <v>145</v>
      </c>
      <c r="W431" s="47">
        <v>2</v>
      </c>
    </row>
    <row r="432" spans="1:23" s="24" customFormat="1" ht="15.75">
      <c r="A432" s="47">
        <f t="shared" si="46"/>
        <v>355</v>
      </c>
      <c r="B432" s="68" t="s">
        <v>378</v>
      </c>
      <c r="C432" s="47">
        <v>1965</v>
      </c>
      <c r="D432" s="47"/>
      <c r="E432" s="47"/>
      <c r="F432" s="69">
        <v>4081.6</v>
      </c>
      <c r="G432" s="69">
        <v>2519.9</v>
      </c>
      <c r="H432" s="50">
        <f>I432+J432+K432+L432+M432+N432+O432</f>
        <v>738255.10000000009</v>
      </c>
      <c r="I432" s="396">
        <f>ROUND(292.97*G432,2)-O432</f>
        <v>693959.79</v>
      </c>
      <c r="J432" s="49">
        <v>0</v>
      </c>
      <c r="K432" s="49">
        <v>0</v>
      </c>
      <c r="L432" s="49">
        <v>0</v>
      </c>
      <c r="M432" s="71">
        <v>0</v>
      </c>
      <c r="N432" s="49">
        <v>0</v>
      </c>
      <c r="O432" s="49">
        <v>44295.31</v>
      </c>
      <c r="P432" s="49">
        <v>0</v>
      </c>
      <c r="Q432" s="49">
        <v>0</v>
      </c>
      <c r="R432" s="49">
        <v>0</v>
      </c>
      <c r="S432" s="94">
        <f>H432</f>
        <v>738255.10000000009</v>
      </c>
      <c r="T432" s="66">
        <v>2017</v>
      </c>
      <c r="U432" s="66">
        <v>2017</v>
      </c>
      <c r="V432" s="141" t="s">
        <v>145</v>
      </c>
      <c r="W432" s="47">
        <v>5</v>
      </c>
    </row>
    <row r="433" spans="1:23" s="24" customFormat="1" ht="15.75">
      <c r="A433" s="47">
        <f t="shared" si="46"/>
        <v>356</v>
      </c>
      <c r="B433" s="48" t="s">
        <v>371</v>
      </c>
      <c r="C433" s="47">
        <v>1960</v>
      </c>
      <c r="D433" s="47"/>
      <c r="E433" s="47"/>
      <c r="F433" s="69">
        <v>2751.6</v>
      </c>
      <c r="G433" s="69">
        <v>2049.6</v>
      </c>
      <c r="H433" s="50">
        <f>I433+J433+K433+L433+M433+N433+O433</f>
        <v>608013.84</v>
      </c>
      <c r="I433" s="401">
        <v>0</v>
      </c>
      <c r="J433" s="49"/>
      <c r="K433" s="49">
        <v>0</v>
      </c>
      <c r="L433" s="49"/>
      <c r="M433" s="49">
        <v>0</v>
      </c>
      <c r="N433" s="49">
        <f>ROUND(296.65*G433,2)-O433</f>
        <v>571816.15999999992</v>
      </c>
      <c r="O433" s="49">
        <v>36197.68</v>
      </c>
      <c r="P433" s="49">
        <v>0</v>
      </c>
      <c r="Q433" s="49">
        <v>0</v>
      </c>
      <c r="R433" s="49">
        <v>0</v>
      </c>
      <c r="S433" s="94">
        <f>H433</f>
        <v>608013.84</v>
      </c>
      <c r="T433" s="66">
        <v>2017</v>
      </c>
      <c r="U433" s="66">
        <v>2017</v>
      </c>
      <c r="V433" s="141" t="s">
        <v>145</v>
      </c>
      <c r="W433" s="47">
        <v>4</v>
      </c>
    </row>
    <row r="434" spans="1:23" s="24" customFormat="1" ht="15.75">
      <c r="A434" s="47">
        <f t="shared" si="46"/>
        <v>357</v>
      </c>
      <c r="B434" s="68" t="s">
        <v>96</v>
      </c>
      <c r="C434" s="47">
        <v>1966</v>
      </c>
      <c r="D434" s="47"/>
      <c r="E434" s="47"/>
      <c r="F434" s="69">
        <v>4141.7</v>
      </c>
      <c r="G434" s="69">
        <v>3190.1</v>
      </c>
      <c r="H434" s="50">
        <f>I434+J434+K434+L434+M434+N434+O434</f>
        <v>3651898.88</v>
      </c>
      <c r="I434" s="50">
        <v>0</v>
      </c>
      <c r="J434" s="49"/>
      <c r="K434" s="49">
        <v>0</v>
      </c>
      <c r="L434" s="49"/>
      <c r="M434" s="71">
        <f>ROUND(1144.76*G434,2)-O434</f>
        <v>3501166.86</v>
      </c>
      <c r="N434" s="49">
        <v>0</v>
      </c>
      <c r="O434" s="49">
        <v>150732.01999999999</v>
      </c>
      <c r="P434" s="49">
        <v>0</v>
      </c>
      <c r="Q434" s="49">
        <v>0</v>
      </c>
      <c r="R434" s="49">
        <v>0</v>
      </c>
      <c r="S434" s="94">
        <f>H434</f>
        <v>3651898.88</v>
      </c>
      <c r="T434" s="66">
        <v>2017</v>
      </c>
      <c r="U434" s="66">
        <v>2017</v>
      </c>
      <c r="V434" s="141" t="s">
        <v>145</v>
      </c>
      <c r="W434" s="47">
        <v>5</v>
      </c>
    </row>
    <row r="435" spans="1:23" s="24" customFormat="1" ht="15.75">
      <c r="A435" s="47">
        <f t="shared" si="46"/>
        <v>358</v>
      </c>
      <c r="B435" s="68" t="s">
        <v>375</v>
      </c>
      <c r="C435" s="47">
        <v>1964</v>
      </c>
      <c r="D435" s="47"/>
      <c r="E435" s="47"/>
      <c r="F435" s="69">
        <v>5061.6000000000004</v>
      </c>
      <c r="G435" s="69">
        <v>3270.7</v>
      </c>
      <c r="H435" s="50">
        <f>I435+J435+K435+L435+M435+N435+O435</f>
        <v>958216.98</v>
      </c>
      <c r="I435" s="44">
        <f>ROUND(292.97*G435,2)-O435</f>
        <v>900723.96</v>
      </c>
      <c r="J435" s="49"/>
      <c r="K435" s="49">
        <v>0</v>
      </c>
      <c r="L435" s="49"/>
      <c r="M435" s="49">
        <v>0</v>
      </c>
      <c r="N435" s="49">
        <v>0</v>
      </c>
      <c r="O435" s="49">
        <v>57493.02</v>
      </c>
      <c r="P435" s="49">
        <v>0</v>
      </c>
      <c r="Q435" s="49">
        <v>0</v>
      </c>
      <c r="R435" s="49">
        <v>0</v>
      </c>
      <c r="S435" s="94">
        <f>H435</f>
        <v>958216.98</v>
      </c>
      <c r="T435" s="66">
        <v>2017</v>
      </c>
      <c r="U435" s="66">
        <v>2017</v>
      </c>
      <c r="V435" s="141" t="s">
        <v>145</v>
      </c>
      <c r="W435" s="47">
        <v>5</v>
      </c>
    </row>
    <row r="436" spans="1:23" s="24" customFormat="1" ht="15.75">
      <c r="A436" s="47">
        <f t="shared" si="46"/>
        <v>359</v>
      </c>
      <c r="B436" s="48" t="s">
        <v>382</v>
      </c>
      <c r="C436" s="47">
        <v>1958</v>
      </c>
      <c r="D436" s="47"/>
      <c r="E436" s="47"/>
      <c r="F436" s="69">
        <v>419</v>
      </c>
      <c r="G436" s="69">
        <v>379.7</v>
      </c>
      <c r="H436" s="50">
        <f>I436+J436+K436+L436+M436+N436+O436</f>
        <v>284159.89</v>
      </c>
      <c r="I436" s="44">
        <f>ROUND(748.38*G436,2)-O436</f>
        <v>267110.3</v>
      </c>
      <c r="J436" s="49"/>
      <c r="K436" s="49">
        <v>0</v>
      </c>
      <c r="L436" s="49"/>
      <c r="M436" s="49">
        <v>0</v>
      </c>
      <c r="N436" s="49">
        <v>0</v>
      </c>
      <c r="O436" s="49">
        <v>17049.59</v>
      </c>
      <c r="P436" s="49">
        <v>0</v>
      </c>
      <c r="Q436" s="49">
        <v>0</v>
      </c>
      <c r="R436" s="49">
        <v>0</v>
      </c>
      <c r="S436" s="94">
        <f>H436</f>
        <v>284159.89</v>
      </c>
      <c r="T436" s="66">
        <v>2017</v>
      </c>
      <c r="U436" s="66">
        <v>2017</v>
      </c>
      <c r="V436" s="141" t="s">
        <v>145</v>
      </c>
      <c r="W436" s="47">
        <v>2</v>
      </c>
    </row>
    <row r="437" spans="1:23" s="24" customFormat="1" ht="15.75">
      <c r="A437" s="47">
        <f t="shared" si="46"/>
        <v>360</v>
      </c>
      <c r="B437" s="48" t="s">
        <v>384</v>
      </c>
      <c r="C437" s="47">
        <v>1957</v>
      </c>
      <c r="D437" s="223"/>
      <c r="E437" s="223"/>
      <c r="F437" s="69">
        <v>706.9</v>
      </c>
      <c r="G437" s="69">
        <v>629.1</v>
      </c>
      <c r="H437" s="50">
        <f>I437+J437+K437+L437+M437+N437+O437</f>
        <v>470805.86</v>
      </c>
      <c r="I437" s="44">
        <f>ROUND(748.38*G437,2)-O437</f>
        <v>442557.51</v>
      </c>
      <c r="J437" s="49">
        <v>0</v>
      </c>
      <c r="K437" s="49">
        <v>0</v>
      </c>
      <c r="L437" s="49">
        <v>0</v>
      </c>
      <c r="M437" s="49">
        <v>0</v>
      </c>
      <c r="N437" s="49">
        <v>0</v>
      </c>
      <c r="O437" s="49">
        <v>28248.35</v>
      </c>
      <c r="P437" s="49">
        <v>0</v>
      </c>
      <c r="Q437" s="49">
        <v>0</v>
      </c>
      <c r="R437" s="49">
        <v>0</v>
      </c>
      <c r="S437" s="94">
        <f>H437</f>
        <v>470805.86</v>
      </c>
      <c r="T437" s="66">
        <v>2017</v>
      </c>
      <c r="U437" s="66">
        <v>2017</v>
      </c>
      <c r="V437" s="141" t="s">
        <v>145</v>
      </c>
      <c r="W437" s="47">
        <v>2</v>
      </c>
    </row>
    <row r="438" spans="1:23" s="24" customFormat="1" ht="15.75">
      <c r="A438" s="47">
        <f>A437+1</f>
        <v>361</v>
      </c>
      <c r="B438" s="48" t="s">
        <v>385</v>
      </c>
      <c r="C438" s="218">
        <v>1957</v>
      </c>
      <c r="D438" s="66"/>
      <c r="E438" s="66"/>
      <c r="F438" s="69">
        <v>715.9</v>
      </c>
      <c r="G438" s="69">
        <v>634.4</v>
      </c>
      <c r="H438" s="50">
        <f>I438+J438+K438+L438+M438+N438+O438</f>
        <v>474772.27</v>
      </c>
      <c r="I438" s="44">
        <f>ROUND(748.38*G438,2)-O438</f>
        <v>446285.93</v>
      </c>
      <c r="J438" s="49">
        <v>0</v>
      </c>
      <c r="K438" s="49">
        <v>0</v>
      </c>
      <c r="L438" s="49">
        <v>0</v>
      </c>
      <c r="M438" s="49">
        <v>0</v>
      </c>
      <c r="N438" s="49">
        <v>0</v>
      </c>
      <c r="O438" s="49">
        <v>28486.34</v>
      </c>
      <c r="P438" s="49">
        <v>0</v>
      </c>
      <c r="Q438" s="49">
        <v>0</v>
      </c>
      <c r="R438" s="49">
        <v>0</v>
      </c>
      <c r="S438" s="94">
        <f>H438</f>
        <v>474772.27</v>
      </c>
      <c r="T438" s="66">
        <v>2017</v>
      </c>
      <c r="U438" s="66">
        <v>2017</v>
      </c>
      <c r="V438" s="141" t="s">
        <v>145</v>
      </c>
      <c r="W438" s="47">
        <v>2</v>
      </c>
    </row>
    <row r="439" spans="1:23" ht="15.75">
      <c r="A439" s="327" t="s">
        <v>263</v>
      </c>
      <c r="B439" s="333"/>
      <c r="C439" s="47"/>
      <c r="D439" s="234"/>
      <c r="E439" s="234"/>
      <c r="F439" s="65">
        <f t="shared" ref="F439:O439" si="47">SUM(F421:F438)</f>
        <v>43473</v>
      </c>
      <c r="G439" s="65">
        <f t="shared" si="47"/>
        <v>31883.5</v>
      </c>
      <c r="H439" s="52">
        <f t="shared" si="47"/>
        <v>23310698.279999997</v>
      </c>
      <c r="I439" s="46">
        <f t="shared" si="47"/>
        <v>10558403.58</v>
      </c>
      <c r="J439" s="46">
        <f t="shared" si="47"/>
        <v>0</v>
      </c>
      <c r="K439" s="46">
        <f t="shared" si="47"/>
        <v>2739339.47</v>
      </c>
      <c r="L439" s="46">
        <f t="shared" si="47"/>
        <v>0</v>
      </c>
      <c r="M439" s="46">
        <f t="shared" si="47"/>
        <v>7832777.0099999998</v>
      </c>
      <c r="N439" s="46">
        <f t="shared" si="47"/>
        <v>961705.62999999989</v>
      </c>
      <c r="O439" s="46">
        <f t="shared" si="47"/>
        <v>1218472.5900000003</v>
      </c>
      <c r="P439" s="46">
        <f>SUM(P421:P438)</f>
        <v>0</v>
      </c>
      <c r="Q439" s="46">
        <f>SUM(Q421:Q438)</f>
        <v>0</v>
      </c>
      <c r="R439" s="46">
        <f>SUM(R421:R438)</f>
        <v>0</v>
      </c>
      <c r="S439" s="96">
        <f>SUM(S421:S438)</f>
        <v>23310698.279999997</v>
      </c>
      <c r="T439" s="22" t="s">
        <v>113</v>
      </c>
      <c r="U439" s="22" t="s">
        <v>113</v>
      </c>
    </row>
    <row r="440" spans="1:23" ht="15.75" customHeight="1">
      <c r="A440" s="338" t="s">
        <v>499</v>
      </c>
      <c r="B440" s="331"/>
      <c r="C440" s="331"/>
      <c r="D440" s="339"/>
      <c r="E440" s="339"/>
      <c r="F440" s="331"/>
      <c r="G440" s="331"/>
      <c r="H440" s="331"/>
      <c r="I440" s="331"/>
      <c r="J440" s="331"/>
      <c r="K440" s="331"/>
      <c r="L440" s="331"/>
      <c r="M440" s="331"/>
      <c r="N440" s="331"/>
      <c r="O440" s="331"/>
      <c r="P440" s="340"/>
      <c r="Q440" s="225"/>
      <c r="R440" s="225"/>
      <c r="S440" s="226"/>
      <c r="T440" s="22"/>
      <c r="U440" s="22"/>
    </row>
    <row r="441" spans="1:23" s="24" customFormat="1" ht="15.75">
      <c r="A441" s="218">
        <f>A438+1</f>
        <v>362</v>
      </c>
      <c r="B441" s="321" t="s">
        <v>518</v>
      </c>
      <c r="C441" s="419">
        <v>1972</v>
      </c>
      <c r="D441" s="66"/>
      <c r="E441" s="66"/>
      <c r="F441" s="421">
        <v>4032.8</v>
      </c>
      <c r="G441" s="322">
        <v>3151.3</v>
      </c>
      <c r="H441" s="188">
        <f>I441+J441+K441+L441+M441+N441+O441</f>
        <v>843350.91</v>
      </c>
      <c r="I441" s="323">
        <f>ROUND(G441*267.62,2)-O441</f>
        <v>792749.86</v>
      </c>
      <c r="J441" s="189">
        <v>0</v>
      </c>
      <c r="K441" s="189">
        <v>0</v>
      </c>
      <c r="L441" s="189">
        <v>0</v>
      </c>
      <c r="M441" s="189">
        <v>0</v>
      </c>
      <c r="N441" s="189">
        <v>0</v>
      </c>
      <c r="O441" s="189">
        <v>50601.05</v>
      </c>
      <c r="P441" s="189">
        <v>0</v>
      </c>
      <c r="Q441" s="189">
        <v>0</v>
      </c>
      <c r="R441" s="189">
        <v>0</v>
      </c>
      <c r="S441" s="190">
        <f>H441</f>
        <v>843350.91</v>
      </c>
      <c r="T441" s="285">
        <v>2016</v>
      </c>
      <c r="U441" s="285">
        <v>2017</v>
      </c>
      <c r="V441" s="298" t="s">
        <v>144</v>
      </c>
      <c r="W441" s="301">
        <v>5</v>
      </c>
    </row>
    <row r="442" spans="1:23" s="24" customFormat="1" ht="15.75">
      <c r="A442" s="218">
        <f>A441+1</f>
        <v>363</v>
      </c>
      <c r="B442" s="324" t="s">
        <v>519</v>
      </c>
      <c r="C442" s="325">
        <v>1988</v>
      </c>
      <c r="D442" s="66"/>
      <c r="E442" s="66"/>
      <c r="F442" s="322">
        <v>3996.6</v>
      </c>
      <c r="G442" s="326">
        <v>3475.7</v>
      </c>
      <c r="H442" s="188">
        <f>I442+J442+K442+L442+M442+N442+O442</f>
        <v>824887.88</v>
      </c>
      <c r="I442" s="71">
        <v>0</v>
      </c>
      <c r="J442" s="189">
        <v>0</v>
      </c>
      <c r="K442" s="189">
        <v>0</v>
      </c>
      <c r="L442" s="189">
        <f>ROUND(G442*237.33,2)-O442</f>
        <v>775394.61</v>
      </c>
      <c r="M442" s="189">
        <v>0</v>
      </c>
      <c r="N442" s="189">
        <v>0</v>
      </c>
      <c r="O442" s="189">
        <v>49493.27</v>
      </c>
      <c r="P442" s="189">
        <v>0</v>
      </c>
      <c r="Q442" s="189">
        <v>0</v>
      </c>
      <c r="R442" s="189">
        <v>0</v>
      </c>
      <c r="S442" s="190">
        <f>H442</f>
        <v>824887.88</v>
      </c>
      <c r="T442" s="285">
        <v>2016</v>
      </c>
      <c r="U442" s="285">
        <v>2017</v>
      </c>
      <c r="V442" s="298" t="s">
        <v>144</v>
      </c>
      <c r="W442" s="301">
        <v>5</v>
      </c>
    </row>
    <row r="443" spans="1:23" s="24" customFormat="1" ht="15.75" customHeight="1">
      <c r="A443" s="218">
        <f>A442+1</f>
        <v>364</v>
      </c>
      <c r="B443" s="324" t="s">
        <v>517</v>
      </c>
      <c r="C443" s="325" t="s">
        <v>500</v>
      </c>
      <c r="D443" s="66"/>
      <c r="E443" s="66"/>
      <c r="F443" s="420">
        <v>3508.4</v>
      </c>
      <c r="G443" s="322">
        <v>3045.5</v>
      </c>
      <c r="H443" s="188">
        <f>I443+J443+K443+L443+M443+N443+O443</f>
        <v>815036.71</v>
      </c>
      <c r="I443" s="422">
        <f>ROUND(G443*267.62,2)-O443</f>
        <v>766134.51</v>
      </c>
      <c r="J443" s="189">
        <v>0</v>
      </c>
      <c r="K443" s="189">
        <v>0</v>
      </c>
      <c r="L443" s="189">
        <v>0</v>
      </c>
      <c r="M443" s="189">
        <v>0</v>
      </c>
      <c r="N443" s="189">
        <v>0</v>
      </c>
      <c r="O443" s="189">
        <v>48902.2</v>
      </c>
      <c r="P443" s="189">
        <v>0</v>
      </c>
      <c r="Q443" s="189">
        <v>0</v>
      </c>
      <c r="R443" s="189">
        <v>0</v>
      </c>
      <c r="S443" s="190">
        <f>H443</f>
        <v>815036.71</v>
      </c>
      <c r="T443" s="285">
        <v>2016</v>
      </c>
      <c r="U443" s="285">
        <v>2017</v>
      </c>
      <c r="V443" s="298" t="s">
        <v>144</v>
      </c>
      <c r="W443" s="301">
        <v>5</v>
      </c>
    </row>
    <row r="444" spans="1:23" ht="17.25" customHeight="1">
      <c r="A444" s="341" t="s">
        <v>263</v>
      </c>
      <c r="B444" s="342"/>
      <c r="C444" s="235"/>
      <c r="D444" s="235"/>
      <c r="E444" s="227">
        <f>SUM(E439:E441)</f>
        <v>0</v>
      </c>
      <c r="F444" s="227">
        <f>SUM(F441:F443)</f>
        <v>11537.8</v>
      </c>
      <c r="G444" s="224">
        <f>SUM(G441:G443)</f>
        <v>9672.5</v>
      </c>
      <c r="H444" s="225">
        <f>SUM(H441:H443)</f>
        <v>2483275.5</v>
      </c>
      <c r="I444" s="225">
        <f>SUM(I441:I443)</f>
        <v>1558884.37</v>
      </c>
      <c r="J444" s="225">
        <f t="shared" ref="J444:O444" si="48">SUM(J441:J443)</f>
        <v>0</v>
      </c>
      <c r="K444" s="225">
        <f t="shared" si="48"/>
        <v>0</v>
      </c>
      <c r="L444" s="225">
        <f t="shared" si="48"/>
        <v>775394.61</v>
      </c>
      <c r="M444" s="225">
        <f t="shared" si="48"/>
        <v>0</v>
      </c>
      <c r="N444" s="225">
        <f t="shared" si="48"/>
        <v>0</v>
      </c>
      <c r="O444" s="225">
        <f t="shared" si="48"/>
        <v>148996.52000000002</v>
      </c>
      <c r="P444" s="225">
        <f t="shared" ref="P444" si="49">SUM(P441:P443)</f>
        <v>0</v>
      </c>
      <c r="Q444" s="225">
        <f t="shared" ref="Q444" si="50">SUM(Q441:Q443)</f>
        <v>0</v>
      </c>
      <c r="R444" s="225">
        <f t="shared" ref="R444" si="51">SUM(R441:R443)</f>
        <v>0</v>
      </c>
      <c r="S444" s="225">
        <f t="shared" ref="S444" si="52">SUM(S441:S443)</f>
        <v>2483275.5</v>
      </c>
      <c r="T444" s="22" t="s">
        <v>113</v>
      </c>
      <c r="U444" s="22" t="s">
        <v>113</v>
      </c>
      <c r="V444" s="2"/>
      <c r="W444" s="24"/>
    </row>
    <row r="445" spans="1:23" ht="15.75">
      <c r="A445" s="327" t="s">
        <v>423</v>
      </c>
      <c r="B445" s="328"/>
      <c r="C445" s="53"/>
      <c r="D445" s="53"/>
      <c r="E445" s="215"/>
      <c r="F445" s="54">
        <f>F419+F439+F444</f>
        <v>113915.40000000001</v>
      </c>
      <c r="G445" s="54">
        <f>G419+G439+G444</f>
        <v>91174.299999999988</v>
      </c>
      <c r="H445" s="52">
        <f>H419+H439+H444</f>
        <v>50125003.469999991</v>
      </c>
      <c r="I445" s="52">
        <f t="shared" ref="I445:O445" si="53">I419+I439+I444</f>
        <v>32259115.190000001</v>
      </c>
      <c r="J445" s="52">
        <f t="shared" si="53"/>
        <v>3037801.66</v>
      </c>
      <c r="K445" s="52">
        <f t="shared" si="53"/>
        <v>2739339.47</v>
      </c>
      <c r="L445" s="52">
        <f t="shared" si="53"/>
        <v>775394.61</v>
      </c>
      <c r="M445" s="52">
        <f t="shared" si="53"/>
        <v>7832777.0099999998</v>
      </c>
      <c r="N445" s="52">
        <f t="shared" si="53"/>
        <v>961705.62999999989</v>
      </c>
      <c r="O445" s="52">
        <f t="shared" si="53"/>
        <v>2518869.9000000004</v>
      </c>
      <c r="P445" s="52">
        <f>P419+P439</f>
        <v>0</v>
      </c>
      <c r="Q445" s="52">
        <f>Q419+Q439</f>
        <v>0</v>
      </c>
      <c r="R445" s="52">
        <f>R419+R439</f>
        <v>0</v>
      </c>
      <c r="S445" s="52">
        <f>S419+S439</f>
        <v>47641727.969999991</v>
      </c>
      <c r="T445" s="22" t="s">
        <v>113</v>
      </c>
      <c r="U445" s="22" t="s">
        <v>113</v>
      </c>
      <c r="V445" s="3"/>
    </row>
    <row r="446" spans="1:23" ht="15.75">
      <c r="A446" s="329" t="s">
        <v>100</v>
      </c>
      <c r="B446" s="330"/>
      <c r="C446" s="330"/>
      <c r="D446" s="330"/>
      <c r="E446" s="331"/>
      <c r="F446" s="330"/>
      <c r="G446" s="330"/>
      <c r="H446" s="330"/>
      <c r="I446" s="330"/>
      <c r="J446" s="330"/>
      <c r="K446" s="330"/>
      <c r="L446" s="330"/>
      <c r="M446" s="330"/>
      <c r="N446" s="330"/>
      <c r="O446" s="330"/>
      <c r="P446" s="330"/>
      <c r="Q446" s="330"/>
      <c r="R446" s="330"/>
      <c r="S446" s="332"/>
      <c r="T446" s="23"/>
      <c r="U446" s="23"/>
    </row>
    <row r="447" spans="1:23" ht="15.75">
      <c r="A447" s="66">
        <f>A443+1</f>
        <v>365</v>
      </c>
      <c r="B447" s="48" t="s">
        <v>388</v>
      </c>
      <c r="C447" s="47">
        <v>1982</v>
      </c>
      <c r="D447" s="47"/>
      <c r="E447" s="195"/>
      <c r="F447" s="62">
        <v>5214.2</v>
      </c>
      <c r="G447" s="32">
        <v>4364.1000000000004</v>
      </c>
      <c r="H447" s="50">
        <f>I447+J447+K447+L447+M447+N447+O447</f>
        <v>4680279.05</v>
      </c>
      <c r="I447" s="49">
        <v>0</v>
      </c>
      <c r="J447" s="49">
        <v>0</v>
      </c>
      <c r="K447" s="71">
        <f>ROUND(1072.45*G447,2)-O447</f>
        <v>4583677.17</v>
      </c>
      <c r="L447" s="49">
        <v>0</v>
      </c>
      <c r="M447" s="49">
        <v>0</v>
      </c>
      <c r="N447" s="49">
        <v>0</v>
      </c>
      <c r="O447" s="49">
        <v>96601.88</v>
      </c>
      <c r="P447" s="49">
        <v>0</v>
      </c>
      <c r="Q447" s="49">
        <v>0</v>
      </c>
      <c r="R447" s="49">
        <v>0</v>
      </c>
      <c r="S447" s="94">
        <f>H447</f>
        <v>4680279.05</v>
      </c>
      <c r="T447" s="66">
        <v>2017</v>
      </c>
      <c r="U447" s="66">
        <v>2017</v>
      </c>
      <c r="V447" s="298" t="s">
        <v>144</v>
      </c>
      <c r="W447" s="301">
        <v>5</v>
      </c>
    </row>
    <row r="448" spans="1:23" ht="15.75">
      <c r="A448" s="66">
        <f>A447+1</f>
        <v>366</v>
      </c>
      <c r="B448" s="48" t="s">
        <v>389</v>
      </c>
      <c r="C448" s="47">
        <v>1992</v>
      </c>
      <c r="D448" s="47"/>
      <c r="E448" s="195"/>
      <c r="F448" s="62">
        <v>2398.1999999999998</v>
      </c>
      <c r="G448" s="32">
        <v>1328</v>
      </c>
      <c r="H448" s="50">
        <f>I448+J448+K448+L448+M448+N448+O448</f>
        <v>1424213.6</v>
      </c>
      <c r="I448" s="49">
        <v>0</v>
      </c>
      <c r="J448" s="49">
        <v>0</v>
      </c>
      <c r="K448" s="71">
        <f>ROUND(1072.45*G448,2)-O448</f>
        <v>1351430.02</v>
      </c>
      <c r="L448" s="49">
        <v>0</v>
      </c>
      <c r="M448" s="49">
        <v>0</v>
      </c>
      <c r="N448" s="49">
        <v>0</v>
      </c>
      <c r="O448" s="49">
        <v>72783.58</v>
      </c>
      <c r="P448" s="49">
        <v>0</v>
      </c>
      <c r="Q448" s="49">
        <v>0</v>
      </c>
      <c r="R448" s="49">
        <v>0</v>
      </c>
      <c r="S448" s="94">
        <f>H448</f>
        <v>1424213.6</v>
      </c>
      <c r="T448" s="66">
        <v>2017</v>
      </c>
      <c r="U448" s="66">
        <v>2017</v>
      </c>
      <c r="V448" s="298" t="s">
        <v>144</v>
      </c>
      <c r="W448" s="301">
        <v>5</v>
      </c>
    </row>
    <row r="449" spans="1:23" ht="15.75">
      <c r="A449" s="66">
        <f>A448+1</f>
        <v>367</v>
      </c>
      <c r="B449" s="67" t="s">
        <v>390</v>
      </c>
      <c r="C449" s="47">
        <v>1985</v>
      </c>
      <c r="D449" s="47"/>
      <c r="E449" s="195"/>
      <c r="F449" s="62">
        <v>1354.8</v>
      </c>
      <c r="G449" s="32">
        <v>829.9</v>
      </c>
      <c r="H449" s="50">
        <f>I449+J449+K449+L449+M449+N449+O449</f>
        <v>890026.26</v>
      </c>
      <c r="I449" s="49">
        <v>0</v>
      </c>
      <c r="J449" s="49">
        <v>0</v>
      </c>
      <c r="K449" s="71">
        <f>ROUND(1072.45*G449,2)-O449</f>
        <v>836624.68</v>
      </c>
      <c r="L449" s="49">
        <v>0</v>
      </c>
      <c r="M449" s="49">
        <v>0</v>
      </c>
      <c r="N449" s="49">
        <v>0</v>
      </c>
      <c r="O449" s="49">
        <v>53401.58</v>
      </c>
      <c r="P449" s="49">
        <v>0</v>
      </c>
      <c r="Q449" s="49">
        <v>0</v>
      </c>
      <c r="R449" s="49">
        <v>0</v>
      </c>
      <c r="S449" s="94">
        <f>H449</f>
        <v>890026.26</v>
      </c>
      <c r="T449" s="66">
        <v>2017</v>
      </c>
      <c r="U449" s="66">
        <v>2017</v>
      </c>
      <c r="V449" s="298" t="s">
        <v>144</v>
      </c>
      <c r="W449" s="301">
        <v>3</v>
      </c>
    </row>
    <row r="450" spans="1:23" ht="15.75">
      <c r="A450" s="327" t="s">
        <v>263</v>
      </c>
      <c r="B450" s="333"/>
      <c r="C450" s="80"/>
      <c r="D450" s="80"/>
      <c r="E450" s="213"/>
      <c r="F450" s="134">
        <f t="shared" ref="F450:O450" si="54">SUM(F447:F449)</f>
        <v>8967.1999999999989</v>
      </c>
      <c r="G450" s="134">
        <f t="shared" si="54"/>
        <v>6522</v>
      </c>
      <c r="H450" s="81">
        <f t="shared" si="54"/>
        <v>6994518.9100000001</v>
      </c>
      <c r="I450" s="72">
        <f t="shared" si="54"/>
        <v>0</v>
      </c>
      <c r="J450" s="72">
        <f t="shared" si="54"/>
        <v>0</v>
      </c>
      <c r="K450" s="72">
        <f t="shared" si="54"/>
        <v>6771731.8699999992</v>
      </c>
      <c r="L450" s="72">
        <f t="shared" si="54"/>
        <v>0</v>
      </c>
      <c r="M450" s="72">
        <f t="shared" si="54"/>
        <v>0</v>
      </c>
      <c r="N450" s="72">
        <f t="shared" si="54"/>
        <v>0</v>
      </c>
      <c r="O450" s="72">
        <f t="shared" si="54"/>
        <v>222787.04000000004</v>
      </c>
      <c r="P450" s="72">
        <f>SUM(P447:P449)</f>
        <v>0</v>
      </c>
      <c r="Q450" s="72">
        <f>SUM(Q447:Q449)</f>
        <v>0</v>
      </c>
      <c r="R450" s="72">
        <f>SUM(R447:R449)</f>
        <v>0</v>
      </c>
      <c r="S450" s="95">
        <f>SUM(S447:S449)</f>
        <v>6994518.9100000001</v>
      </c>
      <c r="T450" s="22" t="s">
        <v>113</v>
      </c>
      <c r="U450" s="22" t="s">
        <v>113</v>
      </c>
    </row>
    <row r="451" spans="1:23" ht="15.75">
      <c r="A451" s="334" t="s">
        <v>264</v>
      </c>
      <c r="B451" s="335"/>
      <c r="C451" s="80"/>
      <c r="D451" s="80"/>
      <c r="E451" s="213"/>
      <c r="F451" s="134">
        <f t="shared" ref="F451:S451" si="55">F450</f>
        <v>8967.1999999999989</v>
      </c>
      <c r="G451" s="134">
        <f t="shared" si="55"/>
        <v>6522</v>
      </c>
      <c r="H451" s="81">
        <f t="shared" si="55"/>
        <v>6994518.9100000001</v>
      </c>
      <c r="I451" s="72">
        <f t="shared" si="55"/>
        <v>0</v>
      </c>
      <c r="J451" s="72">
        <f t="shared" si="55"/>
        <v>0</v>
      </c>
      <c r="K451" s="72">
        <f t="shared" si="55"/>
        <v>6771731.8699999992</v>
      </c>
      <c r="L451" s="72">
        <f t="shared" si="55"/>
        <v>0</v>
      </c>
      <c r="M451" s="72">
        <f t="shared" si="55"/>
        <v>0</v>
      </c>
      <c r="N451" s="72">
        <f t="shared" si="55"/>
        <v>0</v>
      </c>
      <c r="O451" s="72">
        <f t="shared" si="55"/>
        <v>222787.04000000004</v>
      </c>
      <c r="P451" s="72">
        <f t="shared" si="55"/>
        <v>0</v>
      </c>
      <c r="Q451" s="72">
        <f t="shared" si="55"/>
        <v>0</v>
      </c>
      <c r="R451" s="72">
        <f t="shared" si="55"/>
        <v>0</v>
      </c>
      <c r="S451" s="95">
        <f t="shared" si="55"/>
        <v>6994518.9100000001</v>
      </c>
      <c r="T451" s="82" t="s">
        <v>113</v>
      </c>
      <c r="U451" s="82" t="s">
        <v>113</v>
      </c>
    </row>
    <row r="452" spans="1:23">
      <c r="A452" s="83"/>
      <c r="B452" s="83"/>
      <c r="C452" s="84"/>
      <c r="D452" s="84"/>
      <c r="E452" s="84"/>
      <c r="F452" s="98"/>
      <c r="G452" s="110"/>
      <c r="H452" s="85"/>
      <c r="I452" s="83"/>
      <c r="J452" s="83"/>
      <c r="K452" s="83"/>
      <c r="L452" s="83"/>
      <c r="M452" s="83"/>
      <c r="N452" s="83"/>
      <c r="O452" s="83"/>
      <c r="P452" s="83"/>
      <c r="Q452" s="83"/>
      <c r="R452" s="83"/>
      <c r="S452" s="98"/>
      <c r="T452" s="83"/>
      <c r="U452" s="83"/>
    </row>
    <row r="453" spans="1:23" ht="18.75" customHeight="1">
      <c r="A453" s="336" t="s">
        <v>474</v>
      </c>
      <c r="B453" s="336"/>
      <c r="C453" s="336"/>
      <c r="D453" s="336"/>
      <c r="E453" s="336"/>
      <c r="F453" s="336"/>
      <c r="G453" s="336"/>
      <c r="H453" s="336"/>
      <c r="I453" s="336"/>
      <c r="J453" s="336"/>
      <c r="K453" s="336"/>
      <c r="L453" s="336"/>
      <c r="M453" s="336"/>
      <c r="N453" s="336"/>
      <c r="O453" s="336"/>
      <c r="P453" s="336"/>
      <c r="Q453" s="336"/>
      <c r="R453" s="336"/>
      <c r="S453" s="336"/>
      <c r="T453" s="28"/>
      <c r="U453" s="28"/>
    </row>
    <row r="454" spans="1:23" ht="18.75" customHeight="1">
      <c r="A454" s="337" t="s">
        <v>477</v>
      </c>
      <c r="B454" s="337"/>
      <c r="C454" s="337"/>
      <c r="D454" s="337"/>
      <c r="E454" s="337"/>
      <c r="F454" s="337"/>
      <c r="G454" s="337"/>
      <c r="H454" s="337"/>
      <c r="I454" s="337"/>
      <c r="J454" s="337"/>
      <c r="K454" s="337"/>
      <c r="L454" s="337"/>
      <c r="M454" s="337"/>
      <c r="N454" s="337"/>
      <c r="O454" s="337"/>
      <c r="P454" s="337"/>
      <c r="Q454" s="337"/>
      <c r="R454" s="337"/>
      <c r="S454" s="337"/>
    </row>
    <row r="455" spans="1:23" ht="15.75">
      <c r="A455" s="337"/>
      <c r="B455" s="337"/>
      <c r="C455" s="337"/>
      <c r="D455" s="337"/>
      <c r="E455" s="337"/>
      <c r="F455" s="337"/>
      <c r="G455" s="337"/>
      <c r="H455" s="337"/>
      <c r="I455" s="337"/>
      <c r="J455" s="337"/>
      <c r="K455" s="337"/>
      <c r="L455" s="337"/>
      <c r="M455" s="337"/>
      <c r="N455" s="337"/>
      <c r="O455" s="337"/>
      <c r="P455" s="74"/>
      <c r="Q455" s="74"/>
      <c r="R455" s="74"/>
      <c r="S455" s="99"/>
    </row>
    <row r="456" spans="1:23" ht="18.75" hidden="1">
      <c r="A456" s="376" t="s">
        <v>137</v>
      </c>
      <c r="B456" s="376"/>
      <c r="C456" s="376"/>
      <c r="D456" s="376"/>
      <c r="E456" s="376"/>
      <c r="F456" s="376"/>
      <c r="G456" s="376"/>
      <c r="H456" s="376"/>
      <c r="I456" s="376"/>
      <c r="M456" s="75" t="e">
        <f>19217747.28-P456</f>
        <v>#REF!</v>
      </c>
      <c r="N456" s="75"/>
      <c r="O456" s="75"/>
      <c r="P456" s="75" t="e">
        <f>#REF!+#REF!+#REF!+#REF!+#REF!+#REF!+#REF!+#REF!+#REF!+#REF!+#REF!+#REF!+#REF!+#REF!+#REF!+#REF!+#REF!+#REF!+#REF!+#REF!+#REF!+#REF!</f>
        <v>#REF!</v>
      </c>
      <c r="Q456" s="75" t="e">
        <f>#REF!+#REF!+#REF!+#REF!+#REF!+#REF!+#REF!+#REF!+#REF!+#REF!+#REF!+#REF!+#REF!+#REF!+#REF!+#REF!+#REF!+#REF!+#REF!+#REF!+#REF!+#REF!</f>
        <v>#REF!</v>
      </c>
      <c r="R456" s="75" t="e">
        <f>#REF!+#REF!+#REF!+#REF!+#REF!+#REF!+#REF!+#REF!+#REF!+#REF!+#REF!+#REF!+#REF!+#REF!+#REF!+#REF!+#REF!+#REF!+#REF!+#REF!+#REF!+#REF!</f>
        <v>#REF!</v>
      </c>
      <c r="S456" s="101" t="e">
        <f>23738356.5-R456</f>
        <v>#REF!</v>
      </c>
    </row>
    <row r="457" spans="1:23" ht="18.75" hidden="1">
      <c r="A457" s="376" t="s">
        <v>137</v>
      </c>
      <c r="B457" s="376"/>
      <c r="C457" s="376"/>
      <c r="D457" s="376"/>
      <c r="E457" s="376"/>
      <c r="F457" s="376"/>
      <c r="G457" s="376"/>
      <c r="H457" s="376"/>
      <c r="I457" s="376"/>
      <c r="M457" s="76" t="e">
        <f>13987520.34-P457</f>
        <v>#REF!</v>
      </c>
      <c r="N457" s="77"/>
      <c r="O457" s="77"/>
      <c r="P457" s="76" t="e">
        <f>#REF!+#REF!+#REF!+#REF!+#REF!</f>
        <v>#REF!</v>
      </c>
      <c r="Q457" s="76" t="e">
        <f>#REF!+#REF!+#REF!+#REF!+#REF!</f>
        <v>#REF!</v>
      </c>
      <c r="R457" s="76" t="e">
        <f>#REF!+#REF!+#REF!+#REF!+#REF!</f>
        <v>#REF!</v>
      </c>
      <c r="S457" s="101" t="e">
        <f>17290122.9-R457</f>
        <v>#REF!</v>
      </c>
    </row>
    <row r="458" spans="1:23" ht="15.75">
      <c r="A458" s="376"/>
      <c r="B458" s="376"/>
      <c r="C458" s="376"/>
      <c r="D458" s="376"/>
      <c r="E458" s="376"/>
      <c r="F458" s="376"/>
      <c r="G458" s="376"/>
      <c r="H458" s="376"/>
      <c r="I458" s="376"/>
      <c r="J458" s="78"/>
      <c r="K458" s="78"/>
    </row>
    <row r="460" spans="1:23">
      <c r="H460" s="79"/>
      <c r="I460" s="79"/>
      <c r="J460" s="79"/>
      <c r="K460" s="79"/>
      <c r="L460" s="79"/>
      <c r="M460" s="79"/>
      <c r="N460" s="79"/>
      <c r="O460" s="79"/>
      <c r="P460" s="79"/>
      <c r="Q460" s="79"/>
      <c r="R460" s="79"/>
      <c r="S460" s="102"/>
    </row>
    <row r="461" spans="1:23" s="8" customFormat="1">
      <c r="A461" s="2"/>
      <c r="B461" s="2"/>
      <c r="F461" s="102"/>
      <c r="G461" s="102"/>
      <c r="H461" s="10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100"/>
      <c r="V461" s="228"/>
    </row>
    <row r="467" spans="1:22" s="8" customFormat="1" ht="15.75">
      <c r="A467" s="2"/>
      <c r="B467" s="2"/>
      <c r="F467" s="109"/>
      <c r="G467" s="109"/>
      <c r="H467" s="73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61"/>
      <c r="V467" s="228"/>
    </row>
  </sheetData>
  <sortState ref="B441:Y443">
    <sortCondition ref="B441"/>
  </sortState>
  <mergeCells count="102">
    <mergeCell ref="A455:O455"/>
    <mergeCell ref="A456:I456"/>
    <mergeCell ref="A457:I457"/>
    <mergeCell ref="A458:I458"/>
    <mergeCell ref="A445:B445"/>
    <mergeCell ref="A446:S446"/>
    <mergeCell ref="A450:B450"/>
    <mergeCell ref="A451:B451"/>
    <mergeCell ref="A453:S453"/>
    <mergeCell ref="A454:S454"/>
    <mergeCell ref="A400:S400"/>
    <mergeCell ref="A419:B419"/>
    <mergeCell ref="A420:S420"/>
    <mergeCell ref="A439:B439"/>
    <mergeCell ref="A440:P440"/>
    <mergeCell ref="A444:B444"/>
    <mergeCell ref="A389:S389"/>
    <mergeCell ref="A392:B392"/>
    <mergeCell ref="A393:S393"/>
    <mergeCell ref="A397:B397"/>
    <mergeCell ref="A398:B398"/>
    <mergeCell ref="A399:S399"/>
    <mergeCell ref="A380:S380"/>
    <mergeCell ref="A382:B382"/>
    <mergeCell ref="A383:S383"/>
    <mergeCell ref="A386:B386"/>
    <mergeCell ref="A387:B387"/>
    <mergeCell ref="A388:S388"/>
    <mergeCell ref="A362:S362"/>
    <mergeCell ref="A369:B369"/>
    <mergeCell ref="A370:S370"/>
    <mergeCell ref="A376:B376"/>
    <mergeCell ref="A377:S377"/>
    <mergeCell ref="A379:B379"/>
    <mergeCell ref="A344:S344"/>
    <mergeCell ref="A347:B347"/>
    <mergeCell ref="A348:S348"/>
    <mergeCell ref="A357:B357"/>
    <mergeCell ref="A358:S358"/>
    <mergeCell ref="A361:B361"/>
    <mergeCell ref="A327:S327"/>
    <mergeCell ref="A338:B338"/>
    <mergeCell ref="A339:B339"/>
    <mergeCell ref="A340:S340"/>
    <mergeCell ref="A341:S341"/>
    <mergeCell ref="A343:B343"/>
    <mergeCell ref="A313:B313"/>
    <mergeCell ref="A314:S314"/>
    <mergeCell ref="A315:S315"/>
    <mergeCell ref="A318:B318"/>
    <mergeCell ref="A319:S319"/>
    <mergeCell ref="A326:B326"/>
    <mergeCell ref="A273:B273"/>
    <mergeCell ref="A274:S274"/>
    <mergeCell ref="A277:B277"/>
    <mergeCell ref="A278:S278"/>
    <mergeCell ref="A280:B280"/>
    <mergeCell ref="A281:S281"/>
    <mergeCell ref="A210:B210"/>
    <mergeCell ref="A211:S211"/>
    <mergeCell ref="A228:B228"/>
    <mergeCell ref="A229:S229"/>
    <mergeCell ref="A269:B269"/>
    <mergeCell ref="A270:S270"/>
    <mergeCell ref="A62:S62"/>
    <mergeCell ref="A200:B200"/>
    <mergeCell ref="A201:S201"/>
    <mergeCell ref="A16:S16"/>
    <mergeCell ref="A29:B29"/>
    <mergeCell ref="A30:S30"/>
    <mergeCell ref="A38:B38"/>
    <mergeCell ref="A39:S39"/>
    <mergeCell ref="A15:B15"/>
    <mergeCell ref="C10:C13"/>
    <mergeCell ref="D10:D13"/>
    <mergeCell ref="E10:E13"/>
    <mergeCell ref="F10:F12"/>
    <mergeCell ref="G10:G12"/>
    <mergeCell ref="A46:B46"/>
    <mergeCell ref="A47:S47"/>
    <mergeCell ref="A61:B61"/>
    <mergeCell ref="P11:S11"/>
    <mergeCell ref="M11:M12"/>
    <mergeCell ref="N11:N12"/>
    <mergeCell ref="O11:O12"/>
    <mergeCell ref="N1:R1"/>
    <mergeCell ref="N2:R2"/>
    <mergeCell ref="N3:R3"/>
    <mergeCell ref="N4:S4"/>
    <mergeCell ref="N5:S5"/>
    <mergeCell ref="A6:U6"/>
    <mergeCell ref="H10:S10"/>
    <mergeCell ref="T10:T13"/>
    <mergeCell ref="U10:U13"/>
    <mergeCell ref="H11:H12"/>
    <mergeCell ref="I11:I12"/>
    <mergeCell ref="J11:J12"/>
    <mergeCell ref="K11:K12"/>
    <mergeCell ref="L11:L12"/>
    <mergeCell ref="A8:U8"/>
    <mergeCell ref="A10:A13"/>
    <mergeCell ref="B10:B13"/>
  </mergeCells>
  <dataValidations count="2">
    <dataValidation type="list" allowBlank="1" showInputMessage="1" showErrorMessage="1" sqref="V316:V317">
      <formula1>стены</formula1>
    </dataValidation>
    <dataValidation type="list" allowBlank="1" showErrorMessage="1" sqref="V275:V276">
      <formula1>$AA$1:$AA$6</formula1>
      <formula2>0</formula2>
    </dataValidation>
  </dataValidations>
  <pageMargins left="0.31496062992125984" right="0.51181102362204722" top="0.74803149606299213" bottom="0.74803149606299213" header="0.31496062992125984" footer="0.31496062992125984"/>
  <pageSetup paperSize="9" scale="41" fitToHeight="15" orientation="landscape" horizontalDpi="300" verticalDpi="300" r:id="rId1"/>
  <headerFooter differentFirst="1">
    <oddHeader>&amp;C&amp;12&amp;P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nijelskaya</cp:lastModifiedBy>
  <cp:lastPrinted>2016-12-08T14:24:56Z</cp:lastPrinted>
  <dcterms:created xsi:type="dcterms:W3CDTF">2014-06-03T05:55:59Z</dcterms:created>
  <dcterms:modified xsi:type="dcterms:W3CDTF">2016-12-09T13:06:05Z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gDocId">
    <vt:lpwstr>{E37A67BA-C33F-4122-B52A-F213E0F4BD11}</vt:lpwstr>
  </property>
  <property fmtid="{D5CDD505-2E9C-101B-9397-08002B2CF9AE}" pid="3" name="#RegDocId">
    <vt:lpwstr>Вн. Постановление Правительства № Вр-1994117 от 01.08.2016</vt:lpwstr>
  </property>
  <property fmtid="{D5CDD505-2E9C-101B-9397-08002B2CF9AE}" pid="4" name="FileDocId">
    <vt:lpwstr>{881EA446-EA4E-431E-83AF-FC02C6B63244}</vt:lpwstr>
  </property>
  <property fmtid="{D5CDD505-2E9C-101B-9397-08002B2CF9AE}" pid="5" name="#FileDocId">
    <vt:lpwstr>Файл: Копия 2016 06 17 Приложение 1 к ППМО о КП на 2017 _итог v2.xlsx</vt:lpwstr>
  </property>
  <property fmtid="{D5CDD505-2E9C-101B-9397-08002B2CF9AE}" pid="6" name="Дайждест">
    <vt:lpwstr>Вн. Постановление Правительства № 85-ПП от 29.02.2016</vt:lpwstr>
  </property>
  <property fmtid="{D5CDD505-2E9C-101B-9397-08002B2CF9AE}" pid="7" name="Содержание">
    <vt:lpwstr>О ВНЕСЕНИИ ИЗМЕНЕНИЙ В ПОСТАНОВЛЕНИЕ ПРАВИТЕЛЬСТВА МУРМАНСКОЙ ОБЛАСТИ ОТ 27.06.2014 № 325-ПП/9</vt:lpwstr>
  </property>
  <property fmtid="{D5CDD505-2E9C-101B-9397-08002B2CF9AE}" pid="8" name="Вид_документа">
    <vt:lpwstr>Постановление Правительства</vt:lpwstr>
  </property>
  <property fmtid="{D5CDD505-2E9C-101B-9397-08002B2CF9AE}" pid="9" name="Отправитель_ФИО">
    <vt:lpwstr>Ковтун М.В.</vt:lpwstr>
  </property>
  <property fmtid="{D5CDD505-2E9C-101B-9397-08002B2CF9AE}" pid="10" name="Отправитель_Фамилия">
    <vt:lpwstr>Ковтун</vt:lpwstr>
  </property>
  <property fmtid="{D5CDD505-2E9C-101B-9397-08002B2CF9AE}" pid="11" name="Отправитель_Имя">
    <vt:lpwstr>Марина</vt:lpwstr>
  </property>
  <property fmtid="{D5CDD505-2E9C-101B-9397-08002B2CF9AE}" pid="12" name="Отправитель_Отчество">
    <vt:lpwstr>Васильевна</vt:lpwstr>
  </property>
  <property fmtid="{D5CDD505-2E9C-101B-9397-08002B2CF9AE}" pid="13" name="Отправитель_Фамилия_род">
    <vt:lpwstr>Ковтун</vt:lpwstr>
  </property>
  <property fmtid="{D5CDD505-2E9C-101B-9397-08002B2CF9AE}" pid="14" name="Отправитель_Фамилия_дат">
    <vt:lpwstr>Ковтун</vt:lpwstr>
  </property>
  <property fmtid="{D5CDD505-2E9C-101B-9397-08002B2CF9AE}" pid="15" name="Отправитель_Инициалы">
    <vt:lpwstr>М.В.</vt:lpwstr>
  </property>
  <property fmtid="{D5CDD505-2E9C-101B-9397-08002B2CF9AE}" pid="16" name="Отправитель_Должность">
    <vt:lpwstr>Губернатор</vt:lpwstr>
  </property>
  <property fmtid="{D5CDD505-2E9C-101B-9397-08002B2CF9AE}" pid="17" name="Отправитель_Должность_род">
    <vt:lpwstr>Губернатор</vt:lpwstr>
  </property>
  <property fmtid="{D5CDD505-2E9C-101B-9397-08002B2CF9AE}" pid="18" name="Отправитель_Должность_дат">
    <vt:lpwstr>Губернатор</vt:lpwstr>
  </property>
  <property fmtid="{D5CDD505-2E9C-101B-9397-08002B2CF9AE}" pid="19" name="Отправитель_Подразделение">
    <vt:lpwstr>Приемная Губернатора</vt:lpwstr>
  </property>
  <property fmtid="{D5CDD505-2E9C-101B-9397-08002B2CF9AE}" pid="20" name="Отправитель_Телефон">
    <vt:lpwstr>486-201</vt:lpwstr>
  </property>
  <property fmtid="{D5CDD505-2E9C-101B-9397-08002B2CF9AE}" pid="21" name="Исполнитель_ФИО">
    <vt:lpwstr>Трушкова В.В.</vt:lpwstr>
  </property>
  <property fmtid="{D5CDD505-2E9C-101B-9397-08002B2CF9AE}" pid="22" name="Исполнитель_Фамилия">
    <vt:lpwstr>Трушкова</vt:lpwstr>
  </property>
  <property fmtid="{D5CDD505-2E9C-101B-9397-08002B2CF9AE}" pid="23" name="Исполнитель_Имя">
    <vt:lpwstr>Вероника</vt:lpwstr>
  </property>
  <property fmtid="{D5CDD505-2E9C-101B-9397-08002B2CF9AE}" pid="24" name="Исполнитель_Отчество">
    <vt:lpwstr>Владимировна</vt:lpwstr>
  </property>
  <property fmtid="{D5CDD505-2E9C-101B-9397-08002B2CF9AE}" pid="25" name="Исполнитель_Фамилия_род">
    <vt:lpwstr>Трушковой</vt:lpwstr>
  </property>
  <property fmtid="{D5CDD505-2E9C-101B-9397-08002B2CF9AE}" pid="26" name="Исполнитель_Фамилия_дат">
    <vt:lpwstr>Трушковой</vt:lpwstr>
  </property>
  <property fmtid="{D5CDD505-2E9C-101B-9397-08002B2CF9AE}" pid="27" name="Исполнитель_Инициалы">
    <vt:lpwstr>В.В.</vt:lpwstr>
  </property>
  <property fmtid="{D5CDD505-2E9C-101B-9397-08002B2CF9AE}" pid="28" name="Исполнитель_Должность">
    <vt:lpwstr>Заместитель руководителя подразделения ИОГВ</vt:lpwstr>
  </property>
  <property fmtid="{D5CDD505-2E9C-101B-9397-08002B2CF9AE}" pid="29" name="Исполнитель_Должность_род">
    <vt:lpwstr>Заместитель руководителя подразделения ИОГВ</vt:lpwstr>
  </property>
  <property fmtid="{D5CDD505-2E9C-101B-9397-08002B2CF9AE}" pid="30" name="Исполнитель_Должность_дат">
    <vt:lpwstr>Заместитель руководителя подразделения ИОГВ</vt:lpwstr>
  </property>
  <property fmtid="{D5CDD505-2E9C-101B-9397-08002B2CF9AE}" pid="31" name="Исполнитель_Подразделение">
    <vt:lpwstr>21-02 Управление формирования и реализации политики в области энергетики и жилищно-коммунального комплекса</vt:lpwstr>
  </property>
  <property fmtid="{D5CDD505-2E9C-101B-9397-08002B2CF9AE}" pid="32" name="Исполнитель_Телефон">
    <vt:lpwstr>486-761</vt:lpwstr>
  </property>
  <property fmtid="{D5CDD505-2E9C-101B-9397-08002B2CF9AE}" pid="33" name="Регистрационный_номер">
    <vt:lpwstr>85-ПП</vt:lpwstr>
  </property>
  <property fmtid="{D5CDD505-2E9C-101B-9397-08002B2CF9AE}" pid="34" name="Дата_регистрации">
    <vt:filetime>2016-08-01T16:04:36Z</vt:filetime>
  </property>
  <property fmtid="{D5CDD505-2E9C-101B-9397-08002B2CF9AE}" pid="35" name="Получатель_ФИО">
    <vt:lpwstr>Гноевский В.Н.</vt:lpwstr>
  </property>
  <property fmtid="{D5CDD505-2E9C-101B-9397-08002B2CF9AE}" pid="36" name="Получатель_Фамилия">
    <vt:lpwstr>Гноевский</vt:lpwstr>
  </property>
  <property fmtid="{D5CDD505-2E9C-101B-9397-08002B2CF9AE}" pid="37" name="Получатель_Имя">
    <vt:lpwstr>Владимир</vt:lpwstr>
  </property>
  <property fmtid="{D5CDD505-2E9C-101B-9397-08002B2CF9AE}" pid="38" name="Получатель_Отчество">
    <vt:lpwstr>Николаевич</vt:lpwstr>
  </property>
  <property fmtid="{D5CDD505-2E9C-101B-9397-08002B2CF9AE}" pid="39" name="Получатель_Фамилия_род">
    <vt:lpwstr>Гноевского</vt:lpwstr>
  </property>
  <property fmtid="{D5CDD505-2E9C-101B-9397-08002B2CF9AE}" pid="40" name="Получатель_Фамилия_дат">
    <vt:lpwstr>Гноевскому</vt:lpwstr>
  </property>
  <property fmtid="{D5CDD505-2E9C-101B-9397-08002B2CF9AE}" pid="41" name="Получатель_Инициалы">
    <vt:lpwstr>В.Н.</vt:lpwstr>
  </property>
  <property fmtid="{D5CDD505-2E9C-101B-9397-08002B2CF9AE}" pid="42" name="Получатель_Должность">
    <vt:lpwstr>Министр</vt:lpwstr>
  </property>
  <property fmtid="{D5CDD505-2E9C-101B-9397-08002B2CF9AE}" pid="43" name="Получатель_Должность_род">
    <vt:lpwstr>Министр</vt:lpwstr>
  </property>
  <property fmtid="{D5CDD505-2E9C-101B-9397-08002B2CF9AE}" pid="44" name="Получатель_Должность_дат">
    <vt:lpwstr>Министр</vt:lpwstr>
  </property>
  <property fmtid="{D5CDD505-2E9C-101B-9397-08002B2CF9AE}" pid="45" name="Получатель_Подразделение">
    <vt:lpwstr>21-01 Руководство Министерства энергетики и жилищно-коммунального хозяйства Мурманской области</vt:lpwstr>
  </property>
  <property fmtid="{D5CDD505-2E9C-101B-9397-08002B2CF9AE}" pid="46" name="Получатель_Телефон">
    <vt:lpwstr>486-733</vt:lpwstr>
  </property>
</Properties>
</file>