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7490" windowHeight="9735"/>
  </bookViews>
  <sheets>
    <sheet name="2017" sheetId="5" r:id="rId1"/>
  </sheets>
  <externalReferences>
    <externalReference r:id="rId2"/>
    <externalReference r:id="rId3"/>
  </externalReferences>
  <definedNames>
    <definedName name="_xlnm.Print_Titles" localSheetId="0">'2017'!$14:$14</definedName>
    <definedName name="_xlnm.Print_Area" localSheetId="0">'2017'!$A$1:$X$435</definedName>
    <definedName name="стены">[1]Справочники!$A$201:$A$223</definedName>
  </definedNames>
  <calcPr calcId="125725"/>
</workbook>
</file>

<file path=xl/calcChain.xml><?xml version="1.0" encoding="utf-8"?>
<calcChain xmlns="http://schemas.openxmlformats.org/spreadsheetml/2006/main">
  <c r="A401" i="5"/>
  <c r="K202"/>
  <c r="H202"/>
  <c r="F202"/>
  <c r="V202" s="1"/>
  <c r="A202"/>
  <c r="A203" l="1"/>
  <c r="I398" l="1"/>
  <c r="H398"/>
  <c r="G397"/>
  <c r="H397" s="1"/>
  <c r="G396"/>
  <c r="H396" s="1"/>
  <c r="G395"/>
  <c r="H395" s="1"/>
  <c r="G394"/>
  <c r="H394" s="1"/>
  <c r="G393"/>
  <c r="H393" s="1"/>
  <c r="G392"/>
  <c r="H392" s="1"/>
  <c r="G391"/>
  <c r="H391" s="1"/>
  <c r="G390"/>
  <c r="H390" s="1"/>
  <c r="G389"/>
  <c r="H389" s="1"/>
  <c r="G388"/>
  <c r="H388" s="1"/>
  <c r="G387"/>
  <c r="H387" s="1"/>
  <c r="G386"/>
  <c r="H386" s="1"/>
  <c r="G385"/>
  <c r="H385" s="1"/>
  <c r="G384"/>
  <c r="H384" s="1"/>
  <c r="G383"/>
  <c r="H383" s="1"/>
  <c r="G382"/>
  <c r="H382" s="1"/>
  <c r="G381"/>
  <c r="H381" s="1"/>
  <c r="G173" l="1"/>
  <c r="G162"/>
  <c r="G161"/>
  <c r="J125"/>
  <c r="J124"/>
  <c r="J127"/>
  <c r="G139"/>
  <c r="G138"/>
  <c r="G108"/>
  <c r="G109"/>
  <c r="G176"/>
  <c r="G150"/>
  <c r="G149"/>
  <c r="G98"/>
  <c r="G97"/>
  <c r="G95"/>
  <c r="G182"/>
  <c r="G158"/>
  <c r="G120"/>
  <c r="G89"/>
  <c r="G82"/>
  <c r="G187"/>
  <c r="G186"/>
  <c r="G183"/>
  <c r="G171"/>
  <c r="G170"/>
  <c r="G169"/>
  <c r="G168"/>
  <c r="G164"/>
  <c r="G153"/>
  <c r="G152"/>
  <c r="G151"/>
  <c r="G148"/>
  <c r="G129"/>
  <c r="G119"/>
  <c r="G115"/>
  <c r="G91"/>
  <c r="G81"/>
  <c r="I77"/>
  <c r="G180"/>
  <c r="G135"/>
  <c r="G130"/>
  <c r="G79"/>
  <c r="G76"/>
  <c r="N137"/>
  <c r="N128"/>
  <c r="N83"/>
  <c r="N70"/>
  <c r="N90"/>
  <c r="N110"/>
  <c r="N115"/>
  <c r="N114"/>
  <c r="N129"/>
  <c r="N146"/>
  <c r="N145"/>
  <c r="N144"/>
  <c r="N143"/>
  <c r="N166"/>
  <c r="N165"/>
  <c r="N176"/>
  <c r="N175"/>
  <c r="N188"/>
  <c r="N193"/>
  <c r="J102"/>
  <c r="K102" s="1"/>
  <c r="J99"/>
  <c r="J106"/>
  <c r="J96"/>
  <c r="J95"/>
  <c r="J142"/>
  <c r="J157"/>
  <c r="K157" s="1"/>
  <c r="J191"/>
  <c r="J190"/>
  <c r="J167"/>
  <c r="J156"/>
  <c r="J141"/>
  <c r="J136"/>
  <c r="J123"/>
  <c r="J116"/>
  <c r="J94"/>
  <c r="J92"/>
  <c r="J90"/>
  <c r="J100"/>
  <c r="J105"/>
  <c r="J104"/>
  <c r="J112"/>
  <c r="J110"/>
  <c r="J115"/>
  <c r="J117"/>
  <c r="J126"/>
  <c r="J146"/>
  <c r="J145"/>
  <c r="J176"/>
  <c r="J178"/>
  <c r="J183"/>
  <c r="J189"/>
  <c r="J188"/>
  <c r="J185"/>
  <c r="J155"/>
  <c r="J154"/>
  <c r="J152"/>
  <c r="J148"/>
  <c r="J131"/>
  <c r="J98"/>
  <c r="J93"/>
  <c r="J138"/>
  <c r="J133"/>
  <c r="J103"/>
  <c r="J84"/>
  <c r="J75"/>
  <c r="G78"/>
  <c r="G88"/>
  <c r="G96"/>
  <c r="G86"/>
  <c r="G184"/>
  <c r="G121"/>
  <c r="G101"/>
  <c r="G87"/>
  <c r="G85"/>
  <c r="G160"/>
  <c r="G159"/>
  <c r="G179"/>
  <c r="G69"/>
  <c r="G193"/>
  <c r="G174"/>
  <c r="G172"/>
  <c r="G147"/>
  <c r="G100"/>
  <c r="G68"/>
  <c r="G71"/>
  <c r="G67"/>
  <c r="G72"/>
  <c r="N374" l="1"/>
  <c r="O374" s="1"/>
  <c r="G375"/>
  <c r="G374"/>
  <c r="AA376" l="1"/>
  <c r="AA375"/>
  <c r="AA374"/>
  <c r="N375" l="1"/>
  <c r="AA192" l="1"/>
  <c r="Z192"/>
  <c r="Y192"/>
  <c r="I80" l="1"/>
  <c r="I163"/>
  <c r="G66"/>
  <c r="G399" l="1"/>
  <c r="H323" l="1"/>
  <c r="K323"/>
  <c r="N298"/>
  <c r="K298"/>
  <c r="H298"/>
  <c r="L299"/>
  <c r="M299"/>
  <c r="P299"/>
  <c r="Q299"/>
  <c r="S299"/>
  <c r="T299"/>
  <c r="U299"/>
  <c r="E299"/>
  <c r="D299"/>
  <c r="G296"/>
  <c r="F298" l="1"/>
  <c r="V298" s="1"/>
  <c r="O298"/>
  <c r="G56" l="1"/>
  <c r="J63"/>
  <c r="G63"/>
  <c r="J62"/>
  <c r="G62"/>
  <c r="J61"/>
  <c r="G61"/>
  <c r="G60"/>
  <c r="J60"/>
  <c r="G59"/>
  <c r="N51"/>
  <c r="J59"/>
  <c r="K59" s="1"/>
  <c r="G58"/>
  <c r="J57"/>
  <c r="J321" l="1"/>
  <c r="I322"/>
  <c r="L322"/>
  <c r="M322"/>
  <c r="P322"/>
  <c r="Q322"/>
  <c r="R322"/>
  <c r="S322"/>
  <c r="T322"/>
  <c r="U322"/>
  <c r="E322"/>
  <c r="D322"/>
  <c r="K321"/>
  <c r="J55"/>
  <c r="K55" s="1"/>
  <c r="G55"/>
  <c r="G54"/>
  <c r="G53"/>
  <c r="J53"/>
  <c r="J54"/>
  <c r="N53"/>
  <c r="G52"/>
  <c r="N52"/>
  <c r="J52"/>
  <c r="G51"/>
  <c r="F321" l="1"/>
  <c r="N302"/>
  <c r="J303"/>
  <c r="O297"/>
  <c r="K297"/>
  <c r="G297"/>
  <c r="H297" s="1"/>
  <c r="J295"/>
  <c r="H295"/>
  <c r="N294"/>
  <c r="F294" s="1"/>
  <c r="V294" s="1"/>
  <c r="H294"/>
  <c r="N293"/>
  <c r="H293"/>
  <c r="G292"/>
  <c r="F292" s="1"/>
  <c r="V292" s="1"/>
  <c r="G291"/>
  <c r="F291" s="1"/>
  <c r="V291" s="1"/>
  <c r="R290"/>
  <c r="G290"/>
  <c r="H290" s="1"/>
  <c r="R289"/>
  <c r="G289"/>
  <c r="H289" s="1"/>
  <c r="R288"/>
  <c r="G288"/>
  <c r="H288" s="1"/>
  <c r="R287"/>
  <c r="G287"/>
  <c r="R286"/>
  <c r="G286"/>
  <c r="R285"/>
  <c r="G285"/>
  <c r="H285" s="1"/>
  <c r="R284"/>
  <c r="G284"/>
  <c r="H284" s="1"/>
  <c r="R283"/>
  <c r="G283"/>
  <c r="R282"/>
  <c r="G282"/>
  <c r="R281"/>
  <c r="G281"/>
  <c r="H281" s="1"/>
  <c r="R280"/>
  <c r="G280"/>
  <c r="H280" s="1"/>
  <c r="R279"/>
  <c r="G279"/>
  <c r="R278"/>
  <c r="G278"/>
  <c r="R277"/>
  <c r="G277"/>
  <c r="I276"/>
  <c r="F276" s="1"/>
  <c r="V276" s="1"/>
  <c r="I275"/>
  <c r="F275" s="1"/>
  <c r="V275" s="1"/>
  <c r="I274"/>
  <c r="F274" s="1"/>
  <c r="V274" s="1"/>
  <c r="I273"/>
  <c r="R299" l="1"/>
  <c r="O294"/>
  <c r="F279"/>
  <c r="V279" s="1"/>
  <c r="F283"/>
  <c r="V283" s="1"/>
  <c r="F287"/>
  <c r="V287" s="1"/>
  <c r="F273"/>
  <c r="V273" s="1"/>
  <c r="I299"/>
  <c r="F295"/>
  <c r="V295" s="1"/>
  <c r="J299"/>
  <c r="H277"/>
  <c r="G299"/>
  <c r="O293"/>
  <c r="N299"/>
  <c r="F277"/>
  <c r="V277" s="1"/>
  <c r="F278"/>
  <c r="V278" s="1"/>
  <c r="H279"/>
  <c r="F281"/>
  <c r="V281" s="1"/>
  <c r="F282"/>
  <c r="V282" s="1"/>
  <c r="H283"/>
  <c r="F285"/>
  <c r="V285" s="1"/>
  <c r="F286"/>
  <c r="V286" s="1"/>
  <c r="H287"/>
  <c r="F289"/>
  <c r="V289" s="1"/>
  <c r="H292"/>
  <c r="F290"/>
  <c r="V290" s="1"/>
  <c r="H291"/>
  <c r="F296"/>
  <c r="V296" s="1"/>
  <c r="V321"/>
  <c r="H278"/>
  <c r="F280"/>
  <c r="V280" s="1"/>
  <c r="H282"/>
  <c r="F284"/>
  <c r="V284" s="1"/>
  <c r="H286"/>
  <c r="F288"/>
  <c r="V288" s="1"/>
  <c r="K295"/>
  <c r="H296"/>
  <c r="F293"/>
  <c r="V293" s="1"/>
  <c r="F297"/>
  <c r="J424"/>
  <c r="K424" s="1"/>
  <c r="J425"/>
  <c r="K425" s="1"/>
  <c r="J423"/>
  <c r="K423" s="1"/>
  <c r="J329"/>
  <c r="K329" s="1"/>
  <c r="J330"/>
  <c r="F330" s="1"/>
  <c r="G331"/>
  <c r="H331"/>
  <c r="I331"/>
  <c r="L331"/>
  <c r="M331"/>
  <c r="N331"/>
  <c r="O331"/>
  <c r="P331"/>
  <c r="Q331"/>
  <c r="R331"/>
  <c r="S331"/>
  <c r="T331"/>
  <c r="U331"/>
  <c r="E331"/>
  <c r="D331"/>
  <c r="G404"/>
  <c r="H404" s="1"/>
  <c r="P408"/>
  <c r="F408" s="1"/>
  <c r="V408" s="1"/>
  <c r="P405"/>
  <c r="Q405" s="1"/>
  <c r="N414"/>
  <c r="F414" s="1"/>
  <c r="N412"/>
  <c r="O412" s="1"/>
  <c r="N407"/>
  <c r="O407" s="1"/>
  <c r="J406"/>
  <c r="K406" s="1"/>
  <c r="G409"/>
  <c r="F409" s="1"/>
  <c r="V409" s="1"/>
  <c r="G413"/>
  <c r="H413" s="1"/>
  <c r="G418"/>
  <c r="H418" s="1"/>
  <c r="G417"/>
  <c r="H417" s="1"/>
  <c r="G416"/>
  <c r="H416" s="1"/>
  <c r="G415"/>
  <c r="G411"/>
  <c r="F411" s="1"/>
  <c r="V411" s="1"/>
  <c r="G410"/>
  <c r="H410" s="1"/>
  <c r="G403"/>
  <c r="H403" s="1"/>
  <c r="G402"/>
  <c r="H402" s="1"/>
  <c r="G401"/>
  <c r="H405"/>
  <c r="H406"/>
  <c r="H407"/>
  <c r="H408"/>
  <c r="H412"/>
  <c r="H414"/>
  <c r="H415"/>
  <c r="V297" l="1"/>
  <c r="V299" s="1"/>
  <c r="F299"/>
  <c r="F403"/>
  <c r="V403" s="1"/>
  <c r="F410"/>
  <c r="V410" s="1"/>
  <c r="V330"/>
  <c r="J331"/>
  <c r="K330"/>
  <c r="H411"/>
  <c r="F404"/>
  <c r="V404" s="1"/>
  <c r="Q408"/>
  <c r="F405"/>
  <c r="V405" s="1"/>
  <c r="F412"/>
  <c r="V412" s="1"/>
  <c r="F407"/>
  <c r="V407" s="1"/>
  <c r="F406"/>
  <c r="V406" s="1"/>
  <c r="H409"/>
  <c r="F413"/>
  <c r="F402"/>
  <c r="V402" s="1"/>
  <c r="J362" l="1"/>
  <c r="K362" s="1"/>
  <c r="J344" l="1"/>
  <c r="F344" s="1"/>
  <c r="V344" s="1"/>
  <c r="J343"/>
  <c r="K343" s="1"/>
  <c r="G345"/>
  <c r="H345"/>
  <c r="I345"/>
  <c r="L345"/>
  <c r="M345"/>
  <c r="N345"/>
  <c r="O345"/>
  <c r="P345"/>
  <c r="Q345"/>
  <c r="R345"/>
  <c r="S345"/>
  <c r="T345"/>
  <c r="U345"/>
  <c r="E345"/>
  <c r="D345"/>
  <c r="K344" l="1"/>
  <c r="J345"/>
  <c r="O375" l="1"/>
  <c r="J376"/>
  <c r="K376" s="1"/>
  <c r="J375"/>
  <c r="K375" s="1"/>
  <c r="J374"/>
  <c r="K374" s="1"/>
  <c r="G370" l="1"/>
  <c r="G371"/>
  <c r="P370"/>
  <c r="Q370" s="1"/>
  <c r="N370"/>
  <c r="O370" s="1"/>
  <c r="N365"/>
  <c r="J370"/>
  <c r="K370" s="1"/>
  <c r="O365" l="1"/>
  <c r="J359"/>
  <c r="J357"/>
  <c r="K357" s="1"/>
  <c r="J358"/>
  <c r="J356"/>
  <c r="G363"/>
  <c r="H363"/>
  <c r="I363"/>
  <c r="J363"/>
  <c r="L363"/>
  <c r="M363"/>
  <c r="N363"/>
  <c r="O363"/>
  <c r="P363"/>
  <c r="Q363"/>
  <c r="R363"/>
  <c r="S363"/>
  <c r="T363"/>
  <c r="U363"/>
  <c r="E363"/>
  <c r="D363"/>
  <c r="F362"/>
  <c r="V362" s="1"/>
  <c r="O52"/>
  <c r="O53"/>
  <c r="O51"/>
  <c r="K53"/>
  <c r="K54"/>
  <c r="K56"/>
  <c r="K57"/>
  <c r="K58"/>
  <c r="K60"/>
  <c r="K61"/>
  <c r="K63"/>
  <c r="K52"/>
  <c r="F62"/>
  <c r="V62" s="1"/>
  <c r="F51"/>
  <c r="V51" s="1"/>
  <c r="H62"/>
  <c r="F357" l="1"/>
  <c r="V357" s="1"/>
  <c r="H51"/>
  <c r="K62"/>
  <c r="N255" l="1"/>
  <c r="N253"/>
  <c r="N252"/>
  <c r="N251"/>
  <c r="J250"/>
  <c r="J246"/>
  <c r="J247"/>
  <c r="J248"/>
  <c r="J245"/>
  <c r="AA244"/>
  <c r="AA241"/>
  <c r="AA242"/>
  <c r="AA243"/>
  <c r="AA240"/>
  <c r="AA239"/>
  <c r="AA238"/>
  <c r="AA237" l="1"/>
  <c r="AA236"/>
  <c r="G227"/>
  <c r="AA226"/>
  <c r="AA225"/>
  <c r="O221" l="1"/>
  <c r="O222"/>
  <c r="O223"/>
  <c r="O224"/>
  <c r="O225"/>
  <c r="O226"/>
  <c r="O227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50"/>
  <c r="O251"/>
  <c r="O252"/>
  <c r="O253"/>
  <c r="O255"/>
  <c r="O257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50"/>
  <c r="K251"/>
  <c r="K252"/>
  <c r="K253"/>
  <c r="K255"/>
  <c r="K257"/>
  <c r="K221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50"/>
  <c r="H251"/>
  <c r="H252"/>
  <c r="H253"/>
  <c r="H255"/>
  <c r="N228"/>
  <c r="O228" s="1"/>
  <c r="G226"/>
  <c r="F226" s="1"/>
  <c r="V226" s="1"/>
  <c r="G225"/>
  <c r="H225" s="1"/>
  <c r="E256"/>
  <c r="N256" s="1"/>
  <c r="O256" s="1"/>
  <c r="E254"/>
  <c r="H254" s="1"/>
  <c r="E249"/>
  <c r="N249" s="1"/>
  <c r="O249" s="1"/>
  <c r="F221"/>
  <c r="V221" s="1"/>
  <c r="F222"/>
  <c r="V222" s="1"/>
  <c r="F223"/>
  <c r="V223" s="1"/>
  <c r="F224"/>
  <c r="V224" s="1"/>
  <c r="F225"/>
  <c r="V225" s="1"/>
  <c r="F227"/>
  <c r="V227" s="1"/>
  <c r="F228"/>
  <c r="V228" s="1"/>
  <c r="F229"/>
  <c r="V229" s="1"/>
  <c r="F230"/>
  <c r="V230" s="1"/>
  <c r="F231"/>
  <c r="V231" s="1"/>
  <c r="F232"/>
  <c r="V232" s="1"/>
  <c r="F233"/>
  <c r="V233" s="1"/>
  <c r="F234"/>
  <c r="V234" s="1"/>
  <c r="F235"/>
  <c r="V235" s="1"/>
  <c r="F236"/>
  <c r="V236" s="1"/>
  <c r="F237"/>
  <c r="V237" s="1"/>
  <c r="F238"/>
  <c r="V238" s="1"/>
  <c r="F239"/>
  <c r="V239" s="1"/>
  <c r="F240"/>
  <c r="V240" s="1"/>
  <c r="F241"/>
  <c r="V241" s="1"/>
  <c r="F242"/>
  <c r="V242" s="1"/>
  <c r="F243"/>
  <c r="V243" s="1"/>
  <c r="F244"/>
  <c r="V244" s="1"/>
  <c r="F250"/>
  <c r="V250" s="1"/>
  <c r="F251"/>
  <c r="V251" s="1"/>
  <c r="F252"/>
  <c r="V252" s="1"/>
  <c r="F253"/>
  <c r="V253" s="1"/>
  <c r="K249" l="1"/>
  <c r="H249"/>
  <c r="K256"/>
  <c r="O254"/>
  <c r="K254"/>
  <c r="H226"/>
  <c r="H152"/>
  <c r="H173"/>
  <c r="H168"/>
  <c r="H169"/>
  <c r="H170"/>
  <c r="H171"/>
  <c r="H131"/>
  <c r="H95"/>
  <c r="H158"/>
  <c r="H177"/>
  <c r="H101"/>
  <c r="H73"/>
  <c r="H140"/>
  <c r="H82"/>
  <c r="H105"/>
  <c r="H99"/>
  <c r="H80"/>
  <c r="H163"/>
  <c r="H106"/>
  <c r="H138"/>
  <c r="H176"/>
  <c r="H148"/>
  <c r="H135"/>
  <c r="H162"/>
  <c r="H117"/>
  <c r="H132"/>
  <c r="H129"/>
  <c r="H146"/>
  <c r="H128"/>
  <c r="H114"/>
  <c r="H193"/>
  <c r="H134"/>
  <c r="H115"/>
  <c r="H119"/>
  <c r="H153"/>
  <c r="H77"/>
  <c r="H87"/>
  <c r="H122"/>
  <c r="H155"/>
  <c r="H156"/>
  <c r="H157"/>
  <c r="H154"/>
  <c r="H103"/>
  <c r="H84"/>
  <c r="H78"/>
  <c r="H172"/>
  <c r="H112"/>
  <c r="H141"/>
  <c r="H167"/>
  <c r="H130"/>
  <c r="H133"/>
  <c r="H125"/>
  <c r="H127"/>
  <c r="H123"/>
  <c r="H124"/>
  <c r="H144"/>
  <c r="H89"/>
  <c r="H120"/>
  <c r="H121"/>
  <c r="H161"/>
  <c r="H113"/>
  <c r="H107"/>
  <c r="H74"/>
  <c r="H92"/>
  <c r="H175"/>
  <c r="H181"/>
  <c r="H147"/>
  <c r="H184"/>
  <c r="H159"/>
  <c r="H160"/>
  <c r="H139"/>
  <c r="H75"/>
  <c r="H104"/>
  <c r="H94"/>
  <c r="H88"/>
  <c r="H98"/>
  <c r="H85"/>
  <c r="H179"/>
  <c r="H97"/>
  <c r="H116"/>
  <c r="H182"/>
  <c r="H102"/>
  <c r="H83"/>
  <c r="H165"/>
  <c r="H180"/>
  <c r="H143"/>
  <c r="H100"/>
  <c r="H81"/>
  <c r="H91"/>
  <c r="H108"/>
  <c r="H164"/>
  <c r="H186"/>
  <c r="H187"/>
  <c r="H110"/>
  <c r="H189"/>
  <c r="H109"/>
  <c r="H151"/>
  <c r="H149"/>
  <c r="H150"/>
  <c r="H174"/>
  <c r="H142"/>
  <c r="H188"/>
  <c r="H111"/>
  <c r="H118"/>
  <c r="H178"/>
  <c r="H190"/>
  <c r="H191"/>
  <c r="H183"/>
  <c r="H166"/>
  <c r="H90"/>
  <c r="H185"/>
  <c r="H137"/>
  <c r="H79"/>
  <c r="H76"/>
  <c r="H86"/>
  <c r="H136"/>
  <c r="H93"/>
  <c r="H126"/>
  <c r="H145"/>
  <c r="H66"/>
  <c r="H67"/>
  <c r="H71"/>
  <c r="H68"/>
  <c r="H69"/>
  <c r="H70"/>
  <c r="H72"/>
  <c r="H96"/>
  <c r="Q181"/>
  <c r="O177"/>
  <c r="O101"/>
  <c r="O73"/>
  <c r="O140"/>
  <c r="O82"/>
  <c r="O192"/>
  <c r="O105"/>
  <c r="O99"/>
  <c r="O80"/>
  <c r="O163"/>
  <c r="O106"/>
  <c r="O138"/>
  <c r="O176"/>
  <c r="O148"/>
  <c r="O152"/>
  <c r="O173"/>
  <c r="O168"/>
  <c r="O169"/>
  <c r="O170"/>
  <c r="O171"/>
  <c r="O131"/>
  <c r="O95"/>
  <c r="O158"/>
  <c r="O135"/>
  <c r="O162"/>
  <c r="O117"/>
  <c r="O132"/>
  <c r="O129"/>
  <c r="O146"/>
  <c r="O128"/>
  <c r="O114"/>
  <c r="O193"/>
  <c r="O134"/>
  <c r="O115"/>
  <c r="O119"/>
  <c r="O153"/>
  <c r="O77"/>
  <c r="O87"/>
  <c r="O122"/>
  <c r="O84"/>
  <c r="O78"/>
  <c r="O172"/>
  <c r="O112"/>
  <c r="O141"/>
  <c r="O167"/>
  <c r="O130"/>
  <c r="O133"/>
  <c r="O125"/>
  <c r="O127"/>
  <c r="O123"/>
  <c r="O124"/>
  <c r="O144"/>
  <c r="O89"/>
  <c r="O120"/>
  <c r="O121"/>
  <c r="O161"/>
  <c r="O147"/>
  <c r="O184"/>
  <c r="O159"/>
  <c r="O160"/>
  <c r="O139"/>
  <c r="O75"/>
  <c r="O104"/>
  <c r="O94"/>
  <c r="O88"/>
  <c r="O98"/>
  <c r="O85"/>
  <c r="O179"/>
  <c r="O97"/>
  <c r="O116"/>
  <c r="O182"/>
  <c r="O102"/>
  <c r="O155"/>
  <c r="O156"/>
  <c r="O157"/>
  <c r="O154"/>
  <c r="O103"/>
  <c r="O70"/>
  <c r="O72"/>
  <c r="O83"/>
  <c r="O165"/>
  <c r="O180"/>
  <c r="O143"/>
  <c r="O100"/>
  <c r="O81"/>
  <c r="O91"/>
  <c r="O108"/>
  <c r="O164"/>
  <c r="O186"/>
  <c r="O187"/>
  <c r="O110"/>
  <c r="O189"/>
  <c r="O109"/>
  <c r="O151"/>
  <c r="O149"/>
  <c r="O150"/>
  <c r="O174"/>
  <c r="O142"/>
  <c r="O188"/>
  <c r="O111"/>
  <c r="O118"/>
  <c r="O113"/>
  <c r="O107"/>
  <c r="O74"/>
  <c r="O92"/>
  <c r="O175"/>
  <c r="O181"/>
  <c r="O178"/>
  <c r="O190"/>
  <c r="O191"/>
  <c r="O183"/>
  <c r="O166"/>
  <c r="O90"/>
  <c r="O185"/>
  <c r="O137"/>
  <c r="O79"/>
  <c r="O76"/>
  <c r="O86"/>
  <c r="O136"/>
  <c r="O93"/>
  <c r="O126"/>
  <c r="O145"/>
  <c r="O66"/>
  <c r="O67"/>
  <c r="O71"/>
  <c r="O68"/>
  <c r="O69"/>
  <c r="K73"/>
  <c r="K140"/>
  <c r="K82"/>
  <c r="K192"/>
  <c r="K105"/>
  <c r="K129"/>
  <c r="K146"/>
  <c r="K128"/>
  <c r="K114"/>
  <c r="K193"/>
  <c r="K134"/>
  <c r="K115"/>
  <c r="K119"/>
  <c r="K153"/>
  <c r="K77"/>
  <c r="K87"/>
  <c r="K122"/>
  <c r="K80"/>
  <c r="K163"/>
  <c r="K106"/>
  <c r="K138"/>
  <c r="I192"/>
  <c r="I73"/>
  <c r="I122"/>
  <c r="I75"/>
  <c r="I74"/>
  <c r="I107"/>
  <c r="I113"/>
  <c r="I111"/>
  <c r="G194" l="1"/>
  <c r="G352" l="1"/>
  <c r="G351"/>
  <c r="G349"/>
  <c r="G348"/>
  <c r="G347"/>
  <c r="F349" l="1"/>
  <c r="V349" s="1"/>
  <c r="F350"/>
  <c r="V350" s="1"/>
  <c r="G333" l="1"/>
  <c r="J340"/>
  <c r="K340" s="1"/>
  <c r="J339"/>
  <c r="K339" s="1"/>
  <c r="J338"/>
  <c r="K338" s="1"/>
  <c r="J337"/>
  <c r="K337" s="1"/>
  <c r="J333"/>
  <c r="K333" s="1"/>
  <c r="N336"/>
  <c r="O336" s="1"/>
  <c r="N335"/>
  <c r="O335" s="1"/>
  <c r="N334"/>
  <c r="O334" s="1"/>
  <c r="N333"/>
  <c r="O333" s="1"/>
  <c r="H333"/>
  <c r="J326"/>
  <c r="N320"/>
  <c r="O320" s="1"/>
  <c r="J320"/>
  <c r="K320" s="1"/>
  <c r="J319"/>
  <c r="K319" s="1"/>
  <c r="J318"/>
  <c r="K318" s="1"/>
  <c r="J317"/>
  <c r="K317" s="1"/>
  <c r="J316"/>
  <c r="K316" s="1"/>
  <c r="N315"/>
  <c r="H213"/>
  <c r="J315"/>
  <c r="G315"/>
  <c r="H315" s="1"/>
  <c r="G314"/>
  <c r="K315" l="1"/>
  <c r="J322"/>
  <c r="H314"/>
  <c r="G322"/>
  <c r="O315"/>
  <c r="N322"/>
  <c r="G308"/>
  <c r="F308" s="1"/>
  <c r="V308" s="1"/>
  <c r="J311"/>
  <c r="F311" s="1"/>
  <c r="V311" s="1"/>
  <c r="J310"/>
  <c r="F310" s="1"/>
  <c r="V310" s="1"/>
  <c r="K308"/>
  <c r="J309"/>
  <c r="F309" s="1"/>
  <c r="V309" s="1"/>
  <c r="J307"/>
  <c r="F307" s="1"/>
  <c r="V307" s="1"/>
  <c r="J306"/>
  <c r="I312"/>
  <c r="L312"/>
  <c r="M312"/>
  <c r="M323" s="1"/>
  <c r="N312"/>
  <c r="O312"/>
  <c r="O323" s="1"/>
  <c r="P312"/>
  <c r="Q312"/>
  <c r="Q323" s="1"/>
  <c r="R312"/>
  <c r="S312"/>
  <c r="T312"/>
  <c r="U312"/>
  <c r="E312"/>
  <c r="D312"/>
  <c r="K307" l="1"/>
  <c r="K309"/>
  <c r="K311"/>
  <c r="H308"/>
  <c r="G312"/>
  <c r="K310"/>
  <c r="J312"/>
  <c r="J217"/>
  <c r="J216"/>
  <c r="J213"/>
  <c r="J214"/>
  <c r="J215"/>
  <c r="J212"/>
  <c r="N214"/>
  <c r="O214" s="1"/>
  <c r="P211"/>
  <c r="Q211" s="1"/>
  <c r="P207"/>
  <c r="Q207" s="1"/>
  <c r="N211"/>
  <c r="O211" s="1"/>
  <c r="N210"/>
  <c r="O210" s="1"/>
  <c r="O207"/>
  <c r="J206"/>
  <c r="E218" l="1"/>
  <c r="G218"/>
  <c r="I218"/>
  <c r="J218"/>
  <c r="L218"/>
  <c r="N218"/>
  <c r="P218"/>
  <c r="R218"/>
  <c r="S218"/>
  <c r="T218"/>
  <c r="U218"/>
  <c r="D218"/>
  <c r="J265"/>
  <c r="G260"/>
  <c r="H260" s="1"/>
  <c r="J261"/>
  <c r="I203" l="1"/>
  <c r="J201"/>
  <c r="N200"/>
  <c r="H199"/>
  <c r="J199"/>
  <c r="G198"/>
  <c r="H198" s="1"/>
  <c r="J198"/>
  <c r="J197"/>
  <c r="L196"/>
  <c r="M196" s="1"/>
  <c r="J196"/>
  <c r="G201"/>
  <c r="G200"/>
  <c r="H200" s="1"/>
  <c r="G197"/>
  <c r="G196"/>
  <c r="D201"/>
  <c r="D200"/>
  <c r="G26" l="1"/>
  <c r="G27"/>
  <c r="G25"/>
  <c r="H25" s="1"/>
  <c r="G23"/>
  <c r="G22"/>
  <c r="G20"/>
  <c r="H20" s="1"/>
  <c r="G21"/>
  <c r="H21" s="1"/>
  <c r="N21"/>
  <c r="N20"/>
  <c r="J21"/>
  <c r="J20"/>
  <c r="J27" l="1"/>
  <c r="J26"/>
  <c r="J25"/>
  <c r="K25" s="1"/>
  <c r="I26"/>
  <c r="J24"/>
  <c r="G24"/>
  <c r="N23"/>
  <c r="O23" s="1"/>
  <c r="J23"/>
  <c r="G19"/>
  <c r="G18"/>
  <c r="G17"/>
  <c r="F178"/>
  <c r="F190"/>
  <c r="F191"/>
  <c r="V191" s="1"/>
  <c r="F183"/>
  <c r="V183" s="1"/>
  <c r="F166"/>
  <c r="V166" s="1"/>
  <c r="F90"/>
  <c r="F185"/>
  <c r="V185" s="1"/>
  <c r="F137"/>
  <c r="F79"/>
  <c r="V79" s="1"/>
  <c r="F76"/>
  <c r="F86"/>
  <c r="V86" s="1"/>
  <c r="F136"/>
  <c r="F93"/>
  <c r="V93" s="1"/>
  <c r="F126"/>
  <c r="F145"/>
  <c r="V145" s="1"/>
  <c r="F66"/>
  <c r="F67"/>
  <c r="V67" s="1"/>
  <c r="F71"/>
  <c r="V71" s="1"/>
  <c r="F68"/>
  <c r="V68" s="1"/>
  <c r="F69"/>
  <c r="F70"/>
  <c r="V70" s="1"/>
  <c r="F72"/>
  <c r="F83"/>
  <c r="F165"/>
  <c r="V165" s="1"/>
  <c r="F180"/>
  <c r="F143"/>
  <c r="F100"/>
  <c r="V100" s="1"/>
  <c r="F81"/>
  <c r="V81" s="1"/>
  <c r="F91"/>
  <c r="F108"/>
  <c r="F164"/>
  <c r="F186"/>
  <c r="F187"/>
  <c r="F110"/>
  <c r="F189"/>
  <c r="V189" s="1"/>
  <c r="F109"/>
  <c r="V109" s="1"/>
  <c r="F151"/>
  <c r="V151" s="1"/>
  <c r="F149"/>
  <c r="F150"/>
  <c r="F174"/>
  <c r="F142"/>
  <c r="F188"/>
  <c r="F111"/>
  <c r="F118"/>
  <c r="F113"/>
  <c r="F107"/>
  <c r="F74"/>
  <c r="F92"/>
  <c r="V92" s="1"/>
  <c r="F175"/>
  <c r="V175" s="1"/>
  <c r="F181"/>
  <c r="F147"/>
  <c r="F184"/>
  <c r="F159"/>
  <c r="F160"/>
  <c r="F139"/>
  <c r="V139" s="1"/>
  <c r="F75"/>
  <c r="V75" s="1"/>
  <c r="F104"/>
  <c r="F94"/>
  <c r="F88"/>
  <c r="V88" s="1"/>
  <c r="F98"/>
  <c r="V98" s="1"/>
  <c r="F85"/>
  <c r="F179"/>
  <c r="F97"/>
  <c r="V97" s="1"/>
  <c r="F116"/>
  <c r="V116" s="1"/>
  <c r="F182"/>
  <c r="V182" s="1"/>
  <c r="F102"/>
  <c r="F155"/>
  <c r="F156"/>
  <c r="V156" s="1"/>
  <c r="F157"/>
  <c r="V157" s="1"/>
  <c r="F154"/>
  <c r="F103"/>
  <c r="V103" s="1"/>
  <c r="F84"/>
  <c r="V84" s="1"/>
  <c r="F78"/>
  <c r="F172"/>
  <c r="F112"/>
  <c r="V112" s="1"/>
  <c r="F141"/>
  <c r="V141" s="1"/>
  <c r="F167"/>
  <c r="V167" s="1"/>
  <c r="F130"/>
  <c r="F133"/>
  <c r="V133" s="1"/>
  <c r="F125"/>
  <c r="V125" s="1"/>
  <c r="F127"/>
  <c r="V127" s="1"/>
  <c r="F123"/>
  <c r="V123" s="1"/>
  <c r="F124"/>
  <c r="V124" s="1"/>
  <c r="F144"/>
  <c r="V144" s="1"/>
  <c r="F89"/>
  <c r="V89" s="1"/>
  <c r="F120"/>
  <c r="F121"/>
  <c r="F161"/>
  <c r="V161" s="1"/>
  <c r="F135"/>
  <c r="V135" s="1"/>
  <c r="F162"/>
  <c r="F117"/>
  <c r="V117" s="1"/>
  <c r="F132"/>
  <c r="F129"/>
  <c r="V129" s="1"/>
  <c r="F146"/>
  <c r="F128"/>
  <c r="V128" s="1"/>
  <c r="F114"/>
  <c r="V114" s="1"/>
  <c r="F193"/>
  <c r="V193" s="1"/>
  <c r="F134"/>
  <c r="F115"/>
  <c r="V115" s="1"/>
  <c r="F119"/>
  <c r="F153"/>
  <c r="V153" s="1"/>
  <c r="F77"/>
  <c r="F87"/>
  <c r="V87" s="1"/>
  <c r="F122"/>
  <c r="V122" s="1"/>
  <c r="F80"/>
  <c r="F163"/>
  <c r="F106"/>
  <c r="V106" s="1"/>
  <c r="F138"/>
  <c r="V138" s="1"/>
  <c r="F176"/>
  <c r="V176" s="1"/>
  <c r="F148"/>
  <c r="F152"/>
  <c r="V152" s="1"/>
  <c r="F173"/>
  <c r="V173" s="1"/>
  <c r="F168"/>
  <c r="F169"/>
  <c r="F170"/>
  <c r="V170" s="1"/>
  <c r="F171"/>
  <c r="V171" s="1"/>
  <c r="F131"/>
  <c r="V131" s="1"/>
  <c r="F95"/>
  <c r="F158"/>
  <c r="F177"/>
  <c r="F101"/>
  <c r="V101" s="1"/>
  <c r="F73"/>
  <c r="F140"/>
  <c r="V140" s="1"/>
  <c r="F82"/>
  <c r="V82" s="1"/>
  <c r="F192"/>
  <c r="F105"/>
  <c r="F99"/>
  <c r="V99" s="1"/>
  <c r="V178"/>
  <c r="V190"/>
  <c r="V90"/>
  <c r="V137"/>
  <c r="V76"/>
  <c r="V136"/>
  <c r="V126"/>
  <c r="V66"/>
  <c r="V69"/>
  <c r="V72"/>
  <c r="V83"/>
  <c r="V180"/>
  <c r="V143"/>
  <c r="V91"/>
  <c r="V108"/>
  <c r="V164"/>
  <c r="V186"/>
  <c r="V187"/>
  <c r="V110"/>
  <c r="V149"/>
  <c r="V150"/>
  <c r="V174"/>
  <c r="V142"/>
  <c r="V188"/>
  <c r="V111"/>
  <c r="V118"/>
  <c r="V113"/>
  <c r="V107"/>
  <c r="V74"/>
  <c r="V181"/>
  <c r="V147"/>
  <c r="V184"/>
  <c r="V159"/>
  <c r="V160"/>
  <c r="V104"/>
  <c r="V94"/>
  <c r="V85"/>
  <c r="V179"/>
  <c r="V102"/>
  <c r="V155"/>
  <c r="V154"/>
  <c r="V78"/>
  <c r="V172"/>
  <c r="V130"/>
  <c r="V120"/>
  <c r="V121"/>
  <c r="V162"/>
  <c r="V132"/>
  <c r="V146"/>
  <c r="V134"/>
  <c r="V119"/>
  <c r="V77"/>
  <c r="V80"/>
  <c r="V163"/>
  <c r="V148"/>
  <c r="V168"/>
  <c r="V169"/>
  <c r="V95"/>
  <c r="V158"/>
  <c r="V177"/>
  <c r="V73"/>
  <c r="V192"/>
  <c r="V105"/>
  <c r="F25" l="1"/>
  <c r="V25" s="1"/>
  <c r="G270"/>
  <c r="G269"/>
  <c r="F269" s="1"/>
  <c r="G268"/>
  <c r="G48"/>
  <c r="H269" l="1"/>
  <c r="G35"/>
  <c r="H48"/>
  <c r="J48"/>
  <c r="N47"/>
  <c r="O47" s="1"/>
  <c r="N46"/>
  <c r="O46" s="1"/>
  <c r="N45"/>
  <c r="J44"/>
  <c r="N43"/>
  <c r="O43" s="1"/>
  <c r="G40"/>
  <c r="J38"/>
  <c r="K38" s="1"/>
  <c r="J37"/>
  <c r="J36"/>
  <c r="F38" l="1"/>
  <c r="H35"/>
  <c r="G34"/>
  <c r="H34" s="1"/>
  <c r="N33"/>
  <c r="O33" s="1"/>
  <c r="J33"/>
  <c r="K33" s="1"/>
  <c r="J32"/>
  <c r="K32" s="1"/>
  <c r="N32"/>
  <c r="O32" s="1"/>
  <c r="N31"/>
  <c r="J31"/>
  <c r="K31" s="1"/>
  <c r="J30"/>
  <c r="K30" s="1"/>
  <c r="V38"/>
  <c r="K34"/>
  <c r="K35"/>
  <c r="K36"/>
  <c r="K37"/>
  <c r="N22" l="1"/>
  <c r="O22" s="1"/>
  <c r="O21"/>
  <c r="O27"/>
  <c r="O26"/>
  <c r="N24"/>
  <c r="O24" s="1"/>
  <c r="O19"/>
  <c r="O20"/>
  <c r="N18"/>
  <c r="O18" s="1"/>
  <c r="N17"/>
  <c r="O17" s="1"/>
  <c r="M27"/>
  <c r="M26"/>
  <c r="M24"/>
  <c r="M23"/>
  <c r="M22"/>
  <c r="M21"/>
  <c r="M19"/>
  <c r="M20"/>
  <c r="M18"/>
  <c r="M17"/>
  <c r="K24"/>
  <c r="K23"/>
  <c r="K27"/>
  <c r="K26"/>
  <c r="J19"/>
  <c r="K19" s="1"/>
  <c r="K20"/>
  <c r="J18"/>
  <c r="K18" s="1"/>
  <c r="J22"/>
  <c r="K22" s="1"/>
  <c r="K21"/>
  <c r="J17"/>
  <c r="K17" s="1"/>
  <c r="H22"/>
  <c r="H27"/>
  <c r="H26"/>
  <c r="H24"/>
  <c r="H23"/>
  <c r="H19"/>
  <c r="H18"/>
  <c r="H17"/>
  <c r="T433"/>
  <c r="T432"/>
  <c r="U426"/>
  <c r="U427" s="1"/>
  <c r="T426"/>
  <c r="T427" s="1"/>
  <c r="S426"/>
  <c r="S427" s="1"/>
  <c r="R426"/>
  <c r="R427" s="1"/>
  <c r="L426"/>
  <c r="L427" s="1"/>
  <c r="J426"/>
  <c r="J427" s="1"/>
  <c r="I426"/>
  <c r="I427" s="1"/>
  <c r="E426"/>
  <c r="E427" s="1"/>
  <c r="D426"/>
  <c r="D427" s="1"/>
  <c r="F425"/>
  <c r="V425" s="1"/>
  <c r="O424"/>
  <c r="H424"/>
  <c r="O423"/>
  <c r="U419"/>
  <c r="T419"/>
  <c r="S419"/>
  <c r="R419"/>
  <c r="P419"/>
  <c r="L419"/>
  <c r="J419"/>
  <c r="I419"/>
  <c r="D419"/>
  <c r="F418"/>
  <c r="V418" s="1"/>
  <c r="F417"/>
  <c r="V417" s="1"/>
  <c r="O416"/>
  <c r="O415"/>
  <c r="F415"/>
  <c r="V415" s="1"/>
  <c r="E419"/>
  <c r="N419"/>
  <c r="F401"/>
  <c r="V401" s="1"/>
  <c r="U399"/>
  <c r="T399"/>
  <c r="S399"/>
  <c r="R399"/>
  <c r="Q399"/>
  <c r="Q420" s="1"/>
  <c r="P399"/>
  <c r="N399"/>
  <c r="L399"/>
  <c r="J399"/>
  <c r="I399"/>
  <c r="E399"/>
  <c r="D399"/>
  <c r="D420" s="1"/>
  <c r="F398"/>
  <c r="V398" s="1"/>
  <c r="M399"/>
  <c r="K399"/>
  <c r="O399"/>
  <c r="O420" s="1"/>
  <c r="U377"/>
  <c r="T377"/>
  <c r="S377"/>
  <c r="R377"/>
  <c r="P377"/>
  <c r="N377"/>
  <c r="M377"/>
  <c r="M378" s="1"/>
  <c r="L377"/>
  <c r="J377"/>
  <c r="I377"/>
  <c r="G377"/>
  <c r="E377"/>
  <c r="D377"/>
  <c r="O376"/>
  <c r="H376"/>
  <c r="F376"/>
  <c r="V376" s="1"/>
  <c r="Q375"/>
  <c r="H375"/>
  <c r="F375"/>
  <c r="V375" s="1"/>
  <c r="Q374"/>
  <c r="H374"/>
  <c r="F374"/>
  <c r="U372"/>
  <c r="T372"/>
  <c r="S372"/>
  <c r="R372"/>
  <c r="P372"/>
  <c r="N372"/>
  <c r="L372"/>
  <c r="J372"/>
  <c r="I372"/>
  <c r="G372"/>
  <c r="E372"/>
  <c r="D372"/>
  <c r="H371"/>
  <c r="F371"/>
  <c r="V371" s="1"/>
  <c r="H370"/>
  <c r="F370"/>
  <c r="V370" s="1"/>
  <c r="U366"/>
  <c r="T366"/>
  <c r="S366"/>
  <c r="R366"/>
  <c r="P366"/>
  <c r="N366"/>
  <c r="J366"/>
  <c r="I366"/>
  <c r="E366"/>
  <c r="D366"/>
  <c r="L366"/>
  <c r="G366"/>
  <c r="U360"/>
  <c r="T360"/>
  <c r="S360"/>
  <c r="R360"/>
  <c r="P360"/>
  <c r="N360"/>
  <c r="L360"/>
  <c r="J360"/>
  <c r="I360"/>
  <c r="G360"/>
  <c r="E360"/>
  <c r="D360"/>
  <c r="O359"/>
  <c r="K359"/>
  <c r="F359"/>
  <c r="V359" s="1"/>
  <c r="K358"/>
  <c r="F358"/>
  <c r="V358" s="1"/>
  <c r="K356"/>
  <c r="F356"/>
  <c r="V356" s="1"/>
  <c r="K355"/>
  <c r="F355"/>
  <c r="V355" s="1"/>
  <c r="T353"/>
  <c r="S353"/>
  <c r="R353"/>
  <c r="Q353"/>
  <c r="P353"/>
  <c r="O353"/>
  <c r="N353"/>
  <c r="M353"/>
  <c r="L353"/>
  <c r="J353"/>
  <c r="I353"/>
  <c r="E353"/>
  <c r="D353"/>
  <c r="K353"/>
  <c r="F351"/>
  <c r="V351" s="1"/>
  <c r="F348"/>
  <c r="V348" s="1"/>
  <c r="F347"/>
  <c r="V347" s="1"/>
  <c r="F343"/>
  <c r="F345" s="1"/>
  <c r="T341"/>
  <c r="S341"/>
  <c r="R341"/>
  <c r="Q341"/>
  <c r="P341"/>
  <c r="N341"/>
  <c r="L341"/>
  <c r="J341"/>
  <c r="I341"/>
  <c r="E341"/>
  <c r="D341"/>
  <c r="F340"/>
  <c r="F338"/>
  <c r="V338" s="1"/>
  <c r="F337"/>
  <c r="V337" s="1"/>
  <c r="F336"/>
  <c r="V336" s="1"/>
  <c r="M341"/>
  <c r="F335"/>
  <c r="V335" s="1"/>
  <c r="F334"/>
  <c r="V334" s="1"/>
  <c r="F333"/>
  <c r="V333" s="1"/>
  <c r="F329"/>
  <c r="F331" s="1"/>
  <c r="U327"/>
  <c r="T327"/>
  <c r="S327"/>
  <c r="R327"/>
  <c r="P327"/>
  <c r="N327"/>
  <c r="L327"/>
  <c r="J327"/>
  <c r="I327"/>
  <c r="G327"/>
  <c r="E327"/>
  <c r="D327"/>
  <c r="K326"/>
  <c r="F326"/>
  <c r="F319"/>
  <c r="V319" s="1"/>
  <c r="F318"/>
  <c r="V318" s="1"/>
  <c r="K306"/>
  <c r="F306"/>
  <c r="U304"/>
  <c r="U323" s="1"/>
  <c r="T304"/>
  <c r="T323" s="1"/>
  <c r="S304"/>
  <c r="S323" s="1"/>
  <c r="R304"/>
  <c r="R323" s="1"/>
  <c r="P304"/>
  <c r="P323" s="1"/>
  <c r="L304"/>
  <c r="L323" s="1"/>
  <c r="I304"/>
  <c r="I323" s="1"/>
  <c r="G304"/>
  <c r="G323" s="1"/>
  <c r="E304"/>
  <c r="E323" s="1"/>
  <c r="D304"/>
  <c r="D323" s="1"/>
  <c r="J304"/>
  <c r="J323" s="1"/>
  <c r="F302"/>
  <c r="V302" s="1"/>
  <c r="K302"/>
  <c r="T271"/>
  <c r="S271"/>
  <c r="R271"/>
  <c r="P271"/>
  <c r="N271"/>
  <c r="L271"/>
  <c r="J271"/>
  <c r="I271"/>
  <c r="G271"/>
  <c r="D271"/>
  <c r="F270"/>
  <c r="H270"/>
  <c r="F268"/>
  <c r="H268"/>
  <c r="U266"/>
  <c r="T266"/>
  <c r="S266"/>
  <c r="R266"/>
  <c r="P266"/>
  <c r="N266"/>
  <c r="L266"/>
  <c r="J266"/>
  <c r="I266"/>
  <c r="G266"/>
  <c r="E266"/>
  <c r="D266"/>
  <c r="K265"/>
  <c r="F265"/>
  <c r="V265" s="1"/>
  <c r="F264"/>
  <c r="U262"/>
  <c r="T262"/>
  <c r="S262"/>
  <c r="R262"/>
  <c r="P262"/>
  <c r="N262"/>
  <c r="L262"/>
  <c r="J262"/>
  <c r="I262"/>
  <c r="G262"/>
  <c r="E262"/>
  <c r="D262"/>
  <c r="K261"/>
  <c r="H261"/>
  <c r="F261"/>
  <c r="V261" s="1"/>
  <c r="K260"/>
  <c r="F260"/>
  <c r="U258"/>
  <c r="T258"/>
  <c r="S258"/>
  <c r="R258"/>
  <c r="P258"/>
  <c r="N258"/>
  <c r="L258"/>
  <c r="J258"/>
  <c r="I258"/>
  <c r="E258"/>
  <c r="D258"/>
  <c r="H257"/>
  <c r="F257"/>
  <c r="V257" s="1"/>
  <c r="G258"/>
  <c r="H256"/>
  <c r="F256"/>
  <c r="V256" s="1"/>
  <c r="F255"/>
  <c r="V255" s="1"/>
  <c r="F254"/>
  <c r="V254" s="1"/>
  <c r="F249"/>
  <c r="V249" s="1"/>
  <c r="F248"/>
  <c r="V248" s="1"/>
  <c r="F247"/>
  <c r="V247" s="1"/>
  <c r="F246"/>
  <c r="V246" s="1"/>
  <c r="F245"/>
  <c r="V245" s="1"/>
  <c r="O220"/>
  <c r="F220"/>
  <c r="V220" s="1"/>
  <c r="K217"/>
  <c r="F217"/>
  <c r="V217" s="1"/>
  <c r="K216"/>
  <c r="H216"/>
  <c r="F216"/>
  <c r="V216" s="1"/>
  <c r="K215"/>
  <c r="H215"/>
  <c r="F215"/>
  <c r="V215" s="1"/>
  <c r="K214"/>
  <c r="H214"/>
  <c r="F214"/>
  <c r="V214" s="1"/>
  <c r="K213"/>
  <c r="F213"/>
  <c r="V213" s="1"/>
  <c r="K212"/>
  <c r="H212"/>
  <c r="F212"/>
  <c r="V212" s="1"/>
  <c r="K211"/>
  <c r="H211"/>
  <c r="F211"/>
  <c r="V211" s="1"/>
  <c r="K210"/>
  <c r="H210"/>
  <c r="K209"/>
  <c r="H209"/>
  <c r="K208"/>
  <c r="K207"/>
  <c r="H207"/>
  <c r="F207"/>
  <c r="V207" s="1"/>
  <c r="K206"/>
  <c r="H206"/>
  <c r="F206"/>
  <c r="U204"/>
  <c r="T204"/>
  <c r="S204"/>
  <c r="R204"/>
  <c r="P204"/>
  <c r="N204"/>
  <c r="L204"/>
  <c r="J204"/>
  <c r="I204"/>
  <c r="G204"/>
  <c r="D204"/>
  <c r="H203"/>
  <c r="F203"/>
  <c r="V203" s="1"/>
  <c r="K201"/>
  <c r="H201"/>
  <c r="F201"/>
  <c r="V201" s="1"/>
  <c r="Q200"/>
  <c r="O200"/>
  <c r="M200"/>
  <c r="K200"/>
  <c r="F200"/>
  <c r="V200" s="1"/>
  <c r="Q199"/>
  <c r="O199"/>
  <c r="M199"/>
  <c r="K199"/>
  <c r="F199"/>
  <c r="O198"/>
  <c r="K198"/>
  <c r="F198"/>
  <c r="V198" s="1"/>
  <c r="F197"/>
  <c r="V197" s="1"/>
  <c r="O197"/>
  <c r="O196"/>
  <c r="K196"/>
  <c r="H196"/>
  <c r="F196"/>
  <c r="U194"/>
  <c r="T194"/>
  <c r="S194"/>
  <c r="R194"/>
  <c r="M194"/>
  <c r="L194"/>
  <c r="K99"/>
  <c r="K101"/>
  <c r="K177"/>
  <c r="K158"/>
  <c r="K95"/>
  <c r="K131"/>
  <c r="K171"/>
  <c r="K170"/>
  <c r="K169"/>
  <c r="K168"/>
  <c r="K173"/>
  <c r="K152"/>
  <c r="K148"/>
  <c r="K176"/>
  <c r="K132"/>
  <c r="K117"/>
  <c r="K162"/>
  <c r="K135"/>
  <c r="K161"/>
  <c r="K121"/>
  <c r="K120"/>
  <c r="K89"/>
  <c r="K144"/>
  <c r="K124"/>
  <c r="K123"/>
  <c r="K127"/>
  <c r="K125"/>
  <c r="K133"/>
  <c r="K130"/>
  <c r="K167"/>
  <c r="K141"/>
  <c r="K112"/>
  <c r="K172"/>
  <c r="K78"/>
  <c r="K84"/>
  <c r="K103"/>
  <c r="K154"/>
  <c r="I194"/>
  <c r="K156"/>
  <c r="Q155"/>
  <c r="K155"/>
  <c r="K182"/>
  <c r="K116"/>
  <c r="K97"/>
  <c r="K179"/>
  <c r="K85"/>
  <c r="K98"/>
  <c r="K88"/>
  <c r="K94"/>
  <c r="K104"/>
  <c r="K75"/>
  <c r="K139"/>
  <c r="K160"/>
  <c r="K159"/>
  <c r="K184"/>
  <c r="K147"/>
  <c r="K181"/>
  <c r="K175"/>
  <c r="K92"/>
  <c r="K74"/>
  <c r="K107"/>
  <c r="K113"/>
  <c r="K118"/>
  <c r="K111"/>
  <c r="K188"/>
  <c r="K142"/>
  <c r="K174"/>
  <c r="K150"/>
  <c r="K149"/>
  <c r="K151"/>
  <c r="K187"/>
  <c r="K186"/>
  <c r="K164"/>
  <c r="K100"/>
  <c r="K143"/>
  <c r="K180"/>
  <c r="K165"/>
  <c r="K83"/>
  <c r="K72"/>
  <c r="K70"/>
  <c r="K68"/>
  <c r="K71"/>
  <c r="K145"/>
  <c r="K126"/>
  <c r="K93"/>
  <c r="K136"/>
  <c r="K86"/>
  <c r="K76"/>
  <c r="K79"/>
  <c r="K137"/>
  <c r="K90"/>
  <c r="K166"/>
  <c r="K183"/>
  <c r="K191"/>
  <c r="O96"/>
  <c r="K96"/>
  <c r="F96"/>
  <c r="U64"/>
  <c r="T64"/>
  <c r="S64"/>
  <c r="R64"/>
  <c r="P64"/>
  <c r="N64"/>
  <c r="L64"/>
  <c r="I64"/>
  <c r="E64"/>
  <c r="D64"/>
  <c r="F63"/>
  <c r="V63" s="1"/>
  <c r="H61"/>
  <c r="H60"/>
  <c r="F60"/>
  <c r="V60" s="1"/>
  <c r="H59"/>
  <c r="H58"/>
  <c r="F58"/>
  <c r="V58" s="1"/>
  <c r="M57"/>
  <c r="H57"/>
  <c r="F57"/>
  <c r="V57" s="1"/>
  <c r="H56"/>
  <c r="F56"/>
  <c r="V56" s="1"/>
  <c r="H55"/>
  <c r="F55"/>
  <c r="V55" s="1"/>
  <c r="H54"/>
  <c r="F54"/>
  <c r="V54" s="1"/>
  <c r="H53"/>
  <c r="F53"/>
  <c r="V53" s="1"/>
  <c r="H52"/>
  <c r="F52"/>
  <c r="V52" s="1"/>
  <c r="U49"/>
  <c r="T49"/>
  <c r="S49"/>
  <c r="R49"/>
  <c r="P49"/>
  <c r="L49"/>
  <c r="I49"/>
  <c r="G49"/>
  <c r="O48"/>
  <c r="K48"/>
  <c r="F48"/>
  <c r="V48" s="1"/>
  <c r="D49"/>
  <c r="H47"/>
  <c r="F47"/>
  <c r="V47" s="1"/>
  <c r="H46"/>
  <c r="F46"/>
  <c r="V46" s="1"/>
  <c r="Q45"/>
  <c r="O45"/>
  <c r="K45"/>
  <c r="H45"/>
  <c r="F45"/>
  <c r="V45" s="1"/>
  <c r="O44"/>
  <c r="K44"/>
  <c r="H44"/>
  <c r="F44"/>
  <c r="V44" s="1"/>
  <c r="H43"/>
  <c r="F43"/>
  <c r="U41"/>
  <c r="T41"/>
  <c r="S41"/>
  <c r="R41"/>
  <c r="P41"/>
  <c r="N41"/>
  <c r="L41"/>
  <c r="J41"/>
  <c r="I41"/>
  <c r="G41"/>
  <c r="E41"/>
  <c r="D41"/>
  <c r="H40"/>
  <c r="F40"/>
  <c r="V40" s="1"/>
  <c r="O39"/>
  <c r="F39"/>
  <c r="V39" s="1"/>
  <c r="O37"/>
  <c r="F37"/>
  <c r="V37" s="1"/>
  <c r="O36"/>
  <c r="F36"/>
  <c r="V36" s="1"/>
  <c r="O35"/>
  <c r="F35"/>
  <c r="V35" s="1"/>
  <c r="O34"/>
  <c r="F34"/>
  <c r="V34" s="1"/>
  <c r="H33"/>
  <c r="F33"/>
  <c r="V33" s="1"/>
  <c r="H32"/>
  <c r="F32"/>
  <c r="V32" s="1"/>
  <c r="O31"/>
  <c r="F31"/>
  <c r="V31" s="1"/>
  <c r="F30"/>
  <c r="V30" s="1"/>
  <c r="U28"/>
  <c r="T28"/>
  <c r="S28"/>
  <c r="S15" s="1"/>
  <c r="R28"/>
  <c r="R15" s="1"/>
  <c r="L28"/>
  <c r="L15" s="1"/>
  <c r="I28"/>
  <c r="G28"/>
  <c r="E28"/>
  <c r="D28"/>
  <c r="F26"/>
  <c r="V26" s="1"/>
  <c r="F23"/>
  <c r="V23" s="1"/>
  <c r="P28"/>
  <c r="N28"/>
  <c r="F21"/>
  <c r="V21" s="1"/>
  <c r="F20"/>
  <c r="V20" s="1"/>
  <c r="F17"/>
  <c r="V17" s="1"/>
  <c r="A18"/>
  <c r="A19" s="1"/>
  <c r="A20" s="1"/>
  <c r="A21" s="1"/>
  <c r="A22" s="1"/>
  <c r="A23" s="1"/>
  <c r="A24" s="1"/>
  <c r="T15" l="1"/>
  <c r="D367"/>
  <c r="I15"/>
  <c r="F19"/>
  <c r="L420"/>
  <c r="R420"/>
  <c r="J420"/>
  <c r="U420"/>
  <c r="I420"/>
  <c r="P420"/>
  <c r="T420"/>
  <c r="E420"/>
  <c r="N420"/>
  <c r="S420"/>
  <c r="Q377"/>
  <c r="Q378" s="1"/>
  <c r="F363"/>
  <c r="V363"/>
  <c r="F24"/>
  <c r="V24" s="1"/>
  <c r="D378"/>
  <c r="J378"/>
  <c r="V329"/>
  <c r="V331" s="1"/>
  <c r="U341"/>
  <c r="V340"/>
  <c r="V343"/>
  <c r="V345" s="1"/>
  <c r="V326"/>
  <c r="V327" s="1"/>
  <c r="V306"/>
  <c r="V312" s="1"/>
  <c r="F312"/>
  <c r="F18"/>
  <c r="V18" s="1"/>
  <c r="A25"/>
  <c r="A26" s="1"/>
  <c r="A27" s="1"/>
  <c r="A30" s="1"/>
  <c r="A31" s="1"/>
  <c r="A32" s="1"/>
  <c r="A33" s="1"/>
  <c r="A34" s="1"/>
  <c r="A35" s="1"/>
  <c r="A36" s="1"/>
  <c r="A37" s="1"/>
  <c r="G378"/>
  <c r="F360"/>
  <c r="S378"/>
  <c r="U378"/>
  <c r="V372"/>
  <c r="T378"/>
  <c r="P378"/>
  <c r="N378"/>
  <c r="I378"/>
  <c r="F317"/>
  <c r="V317" s="1"/>
  <c r="E378"/>
  <c r="L378"/>
  <c r="F423"/>
  <c r="R378"/>
  <c r="F377"/>
  <c r="H401"/>
  <c r="F262"/>
  <c r="D194"/>
  <c r="D15" s="1"/>
  <c r="F271"/>
  <c r="E194"/>
  <c r="K189"/>
  <c r="F316"/>
  <c r="V316" s="1"/>
  <c r="G64"/>
  <c r="N194"/>
  <c r="K69"/>
  <c r="K197"/>
  <c r="F61"/>
  <c r="V61" s="1"/>
  <c r="V206"/>
  <c r="F352"/>
  <c r="V352" s="1"/>
  <c r="V353" s="1"/>
  <c r="K178"/>
  <c r="O302"/>
  <c r="F314"/>
  <c r="E49"/>
  <c r="K81"/>
  <c r="G353"/>
  <c r="F22"/>
  <c r="V22" s="1"/>
  <c r="K108"/>
  <c r="K110"/>
  <c r="F266"/>
  <c r="F327"/>
  <c r="L367"/>
  <c r="N367"/>
  <c r="T367"/>
  <c r="F416"/>
  <c r="V416" s="1"/>
  <c r="H425"/>
  <c r="F41"/>
  <c r="J64"/>
  <c r="F209"/>
  <c r="V209" s="1"/>
  <c r="H365"/>
  <c r="J367"/>
  <c r="S367"/>
  <c r="I367"/>
  <c r="R367"/>
  <c r="H423"/>
  <c r="F204"/>
  <c r="V199"/>
  <c r="K303"/>
  <c r="M367"/>
  <c r="Q367"/>
  <c r="F365"/>
  <c r="M365"/>
  <c r="E367"/>
  <c r="P367"/>
  <c r="N49"/>
  <c r="S433"/>
  <c r="N433" s="1"/>
  <c r="K190"/>
  <c r="J194"/>
  <c r="V19"/>
  <c r="J28"/>
  <c r="V43"/>
  <c r="F59"/>
  <c r="V59" s="1"/>
  <c r="H63"/>
  <c r="V96"/>
  <c r="Q178"/>
  <c r="K185"/>
  <c r="Q145"/>
  <c r="K66"/>
  <c r="K67"/>
  <c r="K91"/>
  <c r="K109"/>
  <c r="H197"/>
  <c r="E204"/>
  <c r="H208"/>
  <c r="F210"/>
  <c r="V210" s="1"/>
  <c r="F27"/>
  <c r="V27" s="1"/>
  <c r="P194"/>
  <c r="V196"/>
  <c r="V41"/>
  <c r="F208"/>
  <c r="V423"/>
  <c r="V264"/>
  <c r="V266" s="1"/>
  <c r="E271"/>
  <c r="N304"/>
  <c r="N323" s="1"/>
  <c r="F320"/>
  <c r="V320" s="1"/>
  <c r="F339"/>
  <c r="V339" s="1"/>
  <c r="V374"/>
  <c r="V377" s="1"/>
  <c r="V413"/>
  <c r="F424"/>
  <c r="V424" s="1"/>
  <c r="P426"/>
  <c r="P427" s="1"/>
  <c r="F315"/>
  <c r="V315" s="1"/>
  <c r="G341"/>
  <c r="V360"/>
  <c r="O413"/>
  <c r="G426"/>
  <c r="G427" s="1"/>
  <c r="N426"/>
  <c r="N427" s="1"/>
  <c r="V260"/>
  <c r="V262" s="1"/>
  <c r="F303"/>
  <c r="F372"/>
  <c r="O414"/>
  <c r="P15" l="1"/>
  <c r="E15"/>
  <c r="N15"/>
  <c r="V378"/>
  <c r="V314"/>
  <c r="V322" s="1"/>
  <c r="F322"/>
  <c r="V258"/>
  <c r="F304"/>
  <c r="V303"/>
  <c r="V304" s="1"/>
  <c r="F218"/>
  <c r="A38"/>
  <c r="A39" s="1"/>
  <c r="A40" s="1"/>
  <c r="A43" s="1"/>
  <c r="A44" s="1"/>
  <c r="A45" s="1"/>
  <c r="A46" s="1"/>
  <c r="A47" s="1"/>
  <c r="A48" s="1"/>
  <c r="A51" s="1"/>
  <c r="A52" s="1"/>
  <c r="G367"/>
  <c r="V204"/>
  <c r="S432"/>
  <c r="N432" s="1"/>
  <c r="F378"/>
  <c r="U433"/>
  <c r="F366"/>
  <c r="V365"/>
  <c r="V366" s="1"/>
  <c r="F353"/>
  <c r="V426"/>
  <c r="V427" s="1"/>
  <c r="V28"/>
  <c r="V64"/>
  <c r="V208"/>
  <c r="V218" s="1"/>
  <c r="J49"/>
  <c r="J15" s="1"/>
  <c r="V341"/>
  <c r="V194"/>
  <c r="U432"/>
  <c r="V414"/>
  <c r="V419" s="1"/>
  <c r="F341"/>
  <c r="F426"/>
  <c r="F427" s="1"/>
  <c r="F28"/>
  <c r="F258"/>
  <c r="G419"/>
  <c r="G15" s="1"/>
  <c r="F194"/>
  <c r="F64"/>
  <c r="F323" l="1"/>
  <c r="V323"/>
  <c r="A53"/>
  <c r="A54" s="1"/>
  <c r="A55" s="1"/>
  <c r="A56" s="1"/>
  <c r="A57" s="1"/>
  <c r="A58" s="1"/>
  <c r="A59" s="1"/>
  <c r="A60" s="1"/>
  <c r="A61" s="1"/>
  <c r="A62" s="1"/>
  <c r="V433"/>
  <c r="F367"/>
  <c r="U353"/>
  <c r="V367"/>
  <c r="F419"/>
  <c r="V432"/>
  <c r="V49"/>
  <c r="F49"/>
  <c r="A63" l="1"/>
  <c r="A66" s="1"/>
  <c r="U367"/>
  <c r="F388" l="1"/>
  <c r="V388" s="1"/>
  <c r="F382"/>
  <c r="V382" s="1"/>
  <c r="F391"/>
  <c r="V391" s="1"/>
  <c r="F387"/>
  <c r="V387" s="1"/>
  <c r="F392"/>
  <c r="V392" s="1"/>
  <c r="F385"/>
  <c r="V385" s="1"/>
  <c r="F384"/>
  <c r="V384" s="1"/>
  <c r="F397"/>
  <c r="V397" s="1"/>
  <c r="F396"/>
  <c r="V396" s="1"/>
  <c r="F390"/>
  <c r="V390" s="1"/>
  <c r="F393"/>
  <c r="V393" s="1"/>
  <c r="F389"/>
  <c r="V389" s="1"/>
  <c r="F394"/>
  <c r="V394" s="1"/>
  <c r="F386"/>
  <c r="V386" s="1"/>
  <c r="G420"/>
  <c r="F381"/>
  <c r="V381" s="1"/>
  <c r="F395"/>
  <c r="V395" s="1"/>
  <c r="F383"/>
  <c r="V383" s="1"/>
  <c r="F399" l="1"/>
  <c r="F15" s="1"/>
  <c r="V399"/>
  <c r="F420" l="1"/>
  <c r="V420"/>
  <c r="A67" l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l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6" s="1"/>
  <c r="A197" s="1"/>
  <c r="A198" s="1"/>
  <c r="A199" s="1"/>
  <c r="A200" s="1"/>
  <c r="A201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60" s="1"/>
  <c r="A261" s="1"/>
  <c r="A264" s="1"/>
  <c r="A265" s="1"/>
  <c r="A268" s="1"/>
  <c r="A269" s="1"/>
  <c r="A270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302" l="1"/>
  <c r="A303" s="1"/>
  <c r="A306" s="1"/>
  <c r="A307" s="1"/>
  <c r="A308" s="1"/>
  <c r="A309" s="1"/>
  <c r="A298"/>
  <c r="AA268"/>
  <c r="U271"/>
  <c r="AA269"/>
  <c r="V269"/>
  <c r="V270"/>
  <c r="AA270"/>
  <c r="V268"/>
  <c r="A310" l="1"/>
  <c r="A311" s="1"/>
  <c r="A314" s="1"/>
  <c r="A315" s="1"/>
  <c r="A316" s="1"/>
  <c r="A317" s="1"/>
  <c r="A318" s="1"/>
  <c r="A319" s="1"/>
  <c r="A320" s="1"/>
  <c r="A321" s="1"/>
  <c r="A326" s="1"/>
  <c r="A329" s="1"/>
  <c r="A330" s="1"/>
  <c r="A333" s="1"/>
  <c r="A334" s="1"/>
  <c r="A335" s="1"/>
  <c r="A336" s="1"/>
  <c r="A337" s="1"/>
  <c r="A338" s="1"/>
  <c r="A339" s="1"/>
  <c r="A340" s="1"/>
  <c r="A343" s="1"/>
  <c r="A344" s="1"/>
  <c r="A347" s="1"/>
  <c r="A348" s="1"/>
  <c r="A349" s="1"/>
  <c r="A350" s="1"/>
  <c r="A351" s="1"/>
  <c r="A352" s="1"/>
  <c r="A355" s="1"/>
  <c r="A356" s="1"/>
  <c r="A357" s="1"/>
  <c r="A358" s="1"/>
  <c r="A359" s="1"/>
  <c r="A362" s="1"/>
  <c r="U15"/>
  <c r="V271"/>
  <c r="A365" l="1"/>
  <c r="A370" s="1"/>
  <c r="A371" s="1"/>
  <c r="A374" s="1"/>
  <c r="A375" s="1"/>
  <c r="A376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23" s="1"/>
  <c r="A424" s="1"/>
  <c r="A425" s="1"/>
  <c r="V15"/>
  <c r="Y15" s="1"/>
</calcChain>
</file>

<file path=xl/comments1.xml><?xml version="1.0" encoding="utf-8"?>
<comments xmlns="http://schemas.openxmlformats.org/spreadsheetml/2006/main">
  <authors>
    <author>nijelskaya</author>
  </authors>
  <commentList>
    <comment ref="B132" authorId="0">
      <text>
        <r>
          <rPr>
            <b/>
            <sz val="8"/>
            <color indexed="81"/>
            <rFont val="Tahoma"/>
            <family val="2"/>
            <charset val="204"/>
          </rPr>
          <t>nijelskaya:</t>
        </r>
        <r>
          <rPr>
            <sz val="8"/>
            <color indexed="81"/>
            <rFont val="Tahoma"/>
            <family val="2"/>
            <charset val="204"/>
          </rPr>
          <t xml:space="preserve">
собственники сами будут менять теплообменник в 2016 году</t>
        </r>
      </text>
    </comment>
    <comment ref="B229" authorId="0">
      <text>
        <r>
          <rPr>
            <b/>
            <sz val="8"/>
            <color indexed="81"/>
            <rFont val="Tahoma"/>
            <family val="2"/>
            <charset val="204"/>
          </rPr>
          <t>nijelskaya:</t>
        </r>
        <r>
          <rPr>
            <sz val="8"/>
            <color indexed="81"/>
            <rFont val="Tahoma"/>
            <family val="2"/>
            <charset val="204"/>
          </rPr>
          <t xml:space="preserve">
МКД культурного наследия, подтверждение предоставлено</t>
        </r>
      </text>
    </comment>
  </commentList>
</comments>
</file>

<file path=xl/sharedStrings.xml><?xml version="1.0" encoding="utf-8"?>
<sst xmlns="http://schemas.openxmlformats.org/spreadsheetml/2006/main" count="1183" uniqueCount="493">
  <si>
    <t>№ п/п</t>
  </si>
  <si>
    <t>Адрес МКД</t>
  </si>
  <si>
    <t>Год ввода в эксплуатацию</t>
  </si>
  <si>
    <t>Общая площадь МКД, всего</t>
  </si>
  <si>
    <t>Всего: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</si>
  <si>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</si>
  <si>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</si>
  <si>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</si>
  <si>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</si>
  <si>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</si>
  <si>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</si>
  <si>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В том числе:</t>
  </si>
  <si>
    <t>За счет средств местного бюджета</t>
  </si>
  <si>
    <t>кв.м</t>
  </si>
  <si>
    <t>руб.</t>
  </si>
  <si>
    <t>1</t>
  </si>
  <si>
    <t>2</t>
  </si>
  <si>
    <t>3</t>
  </si>
  <si>
    <t>1959</t>
  </si>
  <si>
    <t>1958</t>
  </si>
  <si>
    <t>1977</t>
  </si>
  <si>
    <t>1984</t>
  </si>
  <si>
    <t>1980</t>
  </si>
  <si>
    <t>За счет средств федерального бюджета</t>
  </si>
  <si>
    <t>1990</t>
  </si>
  <si>
    <t>г. Североморск, ул. Северная Застава, д. 26</t>
  </si>
  <si>
    <t>г. Североморск, ул. Флотских Строителей, д. 6</t>
  </si>
  <si>
    <t>Муниципальное образование сельское поселение Пушной Кольского района</t>
  </si>
  <si>
    <t>Муниципальное образование город Мончегорск с подведомственной территорией</t>
  </si>
  <si>
    <t>Муниципальное образование город Кировск с подведомственной территорией</t>
  </si>
  <si>
    <t>Муниципальное образование ЗАТО Александровск</t>
  </si>
  <si>
    <t>Муниципальное образование город Мурманск</t>
  </si>
  <si>
    <t>Муниципальное образование ЗАТО город Североморск</t>
  </si>
  <si>
    <t>Муниципальное образование городское поселение Умба Терского района</t>
  </si>
  <si>
    <t>За счет средств собственников помещений в МКД</t>
  </si>
  <si>
    <t>За счет средств областного бюджета</t>
  </si>
  <si>
    <t>г. Мурманск, ул. Полярный Круг, д. 9</t>
  </si>
  <si>
    <t>Адресный перечень многоквартирных домов, в отношении которых планируется проведение капитального ремонта общего имущества*</t>
  </si>
  <si>
    <t>Стоимость капитального ремонта**</t>
  </si>
  <si>
    <t>Разработка проектной документации</t>
  </si>
  <si>
    <t>Год начала работ</t>
  </si>
  <si>
    <t>Год завершения работ</t>
  </si>
  <si>
    <t>Муниципальное образование город Апатиты с подведомственной территорией</t>
  </si>
  <si>
    <t>г. Кировск, ул. Кирова, д. 34</t>
  </si>
  <si>
    <t>г. Кировск, ул. Юбилейная, д. 7</t>
  </si>
  <si>
    <t>г. Мурманск, пер. Охотничий, д. 13</t>
  </si>
  <si>
    <t>г. Мурманск, пер. Охотничий, д. 19</t>
  </si>
  <si>
    <t>г. Мурманск, ул. Инженерная, д. 7</t>
  </si>
  <si>
    <t>г. Мурманск, ул. Набережная, д. 15</t>
  </si>
  <si>
    <t>г. Мурманск, ул. Октябрьская, д. 12</t>
  </si>
  <si>
    <t>г. Мурманск, ул. Сафонова, д. 32/19</t>
  </si>
  <si>
    <t>г. Мурманск, ул. Свердлова, д. 2, корп. 3</t>
  </si>
  <si>
    <t>г. Мурманск, ул. Челюскинцев, д. 31</t>
  </si>
  <si>
    <t>Муниципальное образование город Оленегорск с подведомственной территорией</t>
  </si>
  <si>
    <t>Муниципальное образование город Полярные Зори с подведомственной территорией</t>
  </si>
  <si>
    <t>г. Полярный, ул. Лунина, д. 5</t>
  </si>
  <si>
    <t>1957</t>
  </si>
  <si>
    <t>1976</t>
  </si>
  <si>
    <t>1964</t>
  </si>
  <si>
    <t>1939</t>
  </si>
  <si>
    <t>1940</t>
  </si>
  <si>
    <t>1938</t>
  </si>
  <si>
    <t>Муниципальное образование ЗАТО поселок Видяево</t>
  </si>
  <si>
    <t>Муниципальное образование ЗАТО город Заозерск</t>
  </si>
  <si>
    <t>г. Кировск, пр. Ленина, д. 9а</t>
  </si>
  <si>
    <t>1963</t>
  </si>
  <si>
    <t>1962</t>
  </si>
  <si>
    <t>Муниципальное образование ЗАТО город Островной</t>
  </si>
  <si>
    <t>Кандалакшский муниципальный район</t>
  </si>
  <si>
    <t>Муниципальное образование сельское поселение Алакуртти Кандалакшского района</t>
  </si>
  <si>
    <t>1982</t>
  </si>
  <si>
    <t>Муниципальное образование городское поселение Зеленоборский Кандалакшского района</t>
  </si>
  <si>
    <t>пгт Зеленоборский, ул. Магистральная, д. 21</t>
  </si>
  <si>
    <t>1950</t>
  </si>
  <si>
    <t>1960</t>
  </si>
  <si>
    <t>Муниципальное образование городское поселение Кандалакша Кандалакшского района</t>
  </si>
  <si>
    <t>1956</t>
  </si>
  <si>
    <t>1937</t>
  </si>
  <si>
    <t>1935</t>
  </si>
  <si>
    <t>Кольский муниципальный район</t>
  </si>
  <si>
    <t>Муниципальное образование городское поселение Кильдинстрой Кольского района</t>
  </si>
  <si>
    <t>Муниципальное образование городское поселение Кола Кольского района</t>
  </si>
  <si>
    <t>Муниципальное образование городское поселение Мурмаши Кольского района</t>
  </si>
  <si>
    <t>1988</t>
  </si>
  <si>
    <t>1968</t>
  </si>
  <si>
    <t>Ловозерский муниципальный район</t>
  </si>
  <si>
    <t>Муниципальное образование сельское поселение Ловозеро Ловозерского района</t>
  </si>
  <si>
    <t>с. Ловозеро, ул. Пионерская, д. 21</t>
  </si>
  <si>
    <t>Муниципальное образование городское поселение Ревда Ловозерского района</t>
  </si>
  <si>
    <t>Печенгский муниципальный район</t>
  </si>
  <si>
    <t>Муниципальное образование городское поселение Заполярный Печенгского района</t>
  </si>
  <si>
    <t>г. Заполярный, пер. Советский, д. 5</t>
  </si>
  <si>
    <t>1967</t>
  </si>
  <si>
    <t>Муниципальное образование городское поселение Никель Печенгского района</t>
  </si>
  <si>
    <t>1989</t>
  </si>
  <si>
    <t>1985</t>
  </si>
  <si>
    <t>1965</t>
  </si>
  <si>
    <t>1973</t>
  </si>
  <si>
    <t>1974</t>
  </si>
  <si>
    <t>пгт Никель, ул. Печенгская, д. 18/9</t>
  </si>
  <si>
    <t>1966</t>
  </si>
  <si>
    <t>1979</t>
  </si>
  <si>
    <t>1969</t>
  </si>
  <si>
    <t>Терский муниципальный район</t>
  </si>
  <si>
    <t>ЗАТО г. Островной, ул. Соловья, д. 10</t>
  </si>
  <si>
    <t>г. Мончегорск, ул. Кольская, д. 4</t>
  </si>
  <si>
    <t>г. Мончегорск, наб. Комсомольская, д. 60</t>
  </si>
  <si>
    <t>г. Мончегорск, ул. Советская, д. 12</t>
  </si>
  <si>
    <t>г. Мурманск, пер. Охотничий, д. 17</t>
  </si>
  <si>
    <t>г. Мурманск, пр. Ленина, д. 70</t>
  </si>
  <si>
    <t>г. Мурманск, ул. Нахимова, д. 17</t>
  </si>
  <si>
    <t>г. Мурманск, ул. Семена Дежнева, д. 14</t>
  </si>
  <si>
    <t>г. Кандалакша, пр-зд Школьный, д. 5</t>
  </si>
  <si>
    <t>Муниципальное образование городское поселение Верхнетуломский Кольского района</t>
  </si>
  <si>
    <t>Муниципальное образование сельское поселение Междуречье Кольского района</t>
  </si>
  <si>
    <t>Муниципальное образование городское поселение Молочный Кольского района</t>
  </si>
  <si>
    <t>пгт Молочный, ул. Гальченко, д. 5</t>
  </si>
  <si>
    <t>Х</t>
  </si>
  <si>
    <t>1981</t>
  </si>
  <si>
    <t>1961</t>
  </si>
  <si>
    <t>Общая площадь помещений МКД, всего</t>
  </si>
  <si>
    <t>нп Африканда, ул. Комсомольская, д. 6</t>
  </si>
  <si>
    <t>пгт Ревда, ул. Нефедова, д. 2</t>
  </si>
  <si>
    <t>пгт Росляково, ул. Молодежная, д. 16</t>
  </si>
  <si>
    <t>г. Мурманск, пр. Ленина, д. 88</t>
  </si>
  <si>
    <t>г. Мурманск, пр. Ленина, д. 65</t>
  </si>
  <si>
    <t>г. Снежногорск, ул. Октябрьская, д. 13</t>
  </si>
  <si>
    <t>г. Полярный, ул. Гаджиева, д. 4</t>
  </si>
  <si>
    <t>г. Полярный, ул. Героев Североморцев, д. 3</t>
  </si>
  <si>
    <t>г. Мурманск, ул. Академика Павлова, д. 5</t>
  </si>
  <si>
    <t>г. Мурманск, ул. им. Виктора Миронова, д. 10</t>
  </si>
  <si>
    <t>г. Мурманск, ул. Юрия Смирнова, д. 20</t>
  </si>
  <si>
    <t>г. Мурманск, ул. Юрия Смирнова, д. 22</t>
  </si>
  <si>
    <t>г. Мурманск, ул. Самойловой, д. 3</t>
  </si>
  <si>
    <t>*  Завершение капитального ремонта общего имущества в многоквартирных домах, являющихся объектами культурного наследия возможно не позднее, чем 31 декабря года, следующего за годом, в котором запланировано начало работ.</t>
  </si>
  <si>
    <t>Мурманской области</t>
  </si>
  <si>
    <t>от __________   № _____</t>
  </si>
  <si>
    <t>Ковдорский район</t>
  </si>
  <si>
    <t>г. Ковдор, ул. Коновалова, д. 4</t>
  </si>
  <si>
    <t>г. Ковдор, ул. Ленина, д. 1</t>
  </si>
  <si>
    <t>г. Ковдор, пл. Ленина, д. 5</t>
  </si>
  <si>
    <t>г. Ковдор, пл. Ленина, д. 2</t>
  </si>
  <si>
    <t>г. Ковдор, ул. Ленина, д. 8</t>
  </si>
  <si>
    <t>** Предельная стоимость работ, выполняемых за счет средств фонда капитального ремонта, формируемого на счете НКО "ФКР МО",  расчитывается на дату проведения конкурсного отбора подрядной организации в соответствии с предельной стоимостью работ, установленной постановлением Правительства Мурманской области.</t>
  </si>
  <si>
    <r>
      <t>- стоимость ремонта 1 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общей площади  помещений многоквартирного дома  с учетом замены лифтового оборудования - 12 777,69 руб.»</t>
    </r>
  </si>
  <si>
    <t>Приложение к</t>
  </si>
  <si>
    <t xml:space="preserve">постановлению Правительства </t>
  </si>
  <si>
    <t>"Сводный 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2017 год</t>
  </si>
  <si>
    <t>г. Апатиты, ул. Космонавтов, д. 8</t>
  </si>
  <si>
    <t>г. Апатиты, ул. Космонавтов, д. 11</t>
  </si>
  <si>
    <t>г. Апатиты, ул. Ленина, д. 5</t>
  </si>
  <si>
    <t>г. Апатиты, ул. Московская, д. 1</t>
  </si>
  <si>
    <t>г. Апатиты, ул. Московская, д. 6</t>
  </si>
  <si>
    <t>г. Апатиты, ул. Ферсмана, д. 20</t>
  </si>
  <si>
    <t>панельные</t>
  </si>
  <si>
    <t>кирпичные</t>
  </si>
  <si>
    <t>г. Ковдор, ул. Победы, д. 8</t>
  </si>
  <si>
    <t>крупноблочные силикатные</t>
  </si>
  <si>
    <t>г. Кировск, ул. Мира, д. 2</t>
  </si>
  <si>
    <t>г. Кировск, пр. Ленина, д. 3а</t>
  </si>
  <si>
    <t>г. Кировск, ул. Мира, д. 8а</t>
  </si>
  <si>
    <t>г. Кировск, ул. Кирова, д. 30</t>
  </si>
  <si>
    <t>г. Кировск, пр. Ленина, д. 19а</t>
  </si>
  <si>
    <t>г. Кировск, пр. Ленина, д. 15</t>
  </si>
  <si>
    <t>г. Кировск, ул. Олимпийская, д. 8</t>
  </si>
  <si>
    <t>ЗАТО г. Островной, ул. Соловья, д. 20</t>
  </si>
  <si>
    <t>ЗАТО г. Островной, ул. Соловья, д. 22</t>
  </si>
  <si>
    <t>бревно (брус)</t>
  </si>
  <si>
    <t>дерево</t>
  </si>
  <si>
    <t>плоская</t>
  </si>
  <si>
    <t>скатная</t>
  </si>
  <si>
    <t>г. Мурманск, ул. Беринга, д. 20</t>
  </si>
  <si>
    <t>г. Мурманск, ул. Адмирала флота Лобова, д. 39/13</t>
  </si>
  <si>
    <t>г. Мурманск, ул. Юрия Гагарина, д. 1а</t>
  </si>
  <si>
    <t>г. Мурманск, пр. Кольский, д. 128</t>
  </si>
  <si>
    <t>г. Мурманск, ул. Карла Либкнехта, д. 8</t>
  </si>
  <si>
    <t>г. Мурманск, пер. Охотничий, д. 4</t>
  </si>
  <si>
    <t>г. Мурманск, пер. Охотничий, д. 21</t>
  </si>
  <si>
    <t>г. Мурманск, пер. Охотничий, д. 15</t>
  </si>
  <si>
    <t>г. Мурманск, пер. Охотничий, д. 25</t>
  </si>
  <si>
    <t>г. Мурманск, пр. Ленина, д. 67</t>
  </si>
  <si>
    <t>г. Мурманск, пр. Ленина, д. 26</t>
  </si>
  <si>
    <t>г. Мурманск, ул. Академика Павлова, д. 9</t>
  </si>
  <si>
    <t>г. Мурманск, ул. Академика Павлова, д. 2</t>
  </si>
  <si>
    <t>г. Мурманск, ул. Папанина, д. 28</t>
  </si>
  <si>
    <t>г. Мурманск, ул. Фрунзе, д. 17</t>
  </si>
  <si>
    <t>г. Мурманск, пр-зд Молодежный, д. 11</t>
  </si>
  <si>
    <t>г. Мурманск, ул. имени Полухина, д. 22</t>
  </si>
  <si>
    <t>г. Мурманск, ул. имени Полухина, д. 16</t>
  </si>
  <si>
    <t>г. Мурманск, ул. имени Полухина, д. 9</t>
  </si>
  <si>
    <t>г. Мурманск, ул. имени Полухина, д. 12</t>
  </si>
  <si>
    <t>г. Мурманск, ул. имени Полухина, д. 14в</t>
  </si>
  <si>
    <t>г. Мурманск, ул. Сафонова, д. 24/26</t>
  </si>
  <si>
    <t>г. Мурманск, ул. Сафонова, д. 21</t>
  </si>
  <si>
    <t>г. Мурманск, ул. Сафонова, д. 43</t>
  </si>
  <si>
    <t>г. Мурманск, ул. Юрия Гагарина, д. 3</t>
  </si>
  <si>
    <t>г. Мурманск, ул. Юрия Гагарина, д. 5</t>
  </si>
  <si>
    <t xml:space="preserve">г. Мурманск, ул. Подстаницкого, д. 4 </t>
  </si>
  <si>
    <t xml:space="preserve">г. Мурманск, ул. Подстаницкого, д. 12 </t>
  </si>
  <si>
    <t xml:space="preserve">г. Мурманск, ул. Подстаницкого, д. 18 </t>
  </si>
  <si>
    <t>г. Мурманск, ул. Подстаницкого, д. 10</t>
  </si>
  <si>
    <t>г. Мурманск, ул. Подстаницкого, д. 6</t>
  </si>
  <si>
    <t>г. Мурманск, ул. Челюскинцев, д. 30а</t>
  </si>
  <si>
    <t>г. Мурманск, ул. Володарского, д. 2б</t>
  </si>
  <si>
    <t>г. Мурманск, ул. им. вице-адмирала Николаева, д. 5</t>
  </si>
  <si>
    <t>г. Мурманск, ул. им. вице-адмирала Николаева, д. 1/9</t>
  </si>
  <si>
    <t>г. Мурманск, ул. им. вице-адмирала Николаева, д. 6</t>
  </si>
  <si>
    <t>г. Мурманск, ул. им. вице-адмирала Николаева, д. 8</t>
  </si>
  <si>
    <t>г. Мурманск, ул. им. вице-адмирала Николаева, д. 7</t>
  </si>
  <si>
    <t>г. Мурманск, ул. имени Гаджиева, д. 2/47</t>
  </si>
  <si>
    <t>г. Мурманск, ул. им. А. С. Хлобыстова, д. 18</t>
  </si>
  <si>
    <t>г. Апатиты, ул. Победы, д. 19</t>
  </si>
  <si>
    <t>г. Апатиты, ул. Северная, д. 29</t>
  </si>
  <si>
    <t>г. Апатиты, ул. Ферсмана, д. 36</t>
  </si>
  <si>
    <t>г. Апатиты, ул. Бредова, д. 30</t>
  </si>
  <si>
    <t>г. Апатиты, ул. Победы, д. 6</t>
  </si>
  <si>
    <t>газ</t>
  </si>
  <si>
    <t>электро</t>
  </si>
  <si>
    <t>г. Мурманск, ул. Бредова, д. 17</t>
  </si>
  <si>
    <t>г. Мурманск, ул. Героев Рыбачьего, д. 21</t>
  </si>
  <si>
    <t>г. Мурманск, ул. Полярный Круг, д. 4</t>
  </si>
  <si>
    <t>г. Мурманск, ул. Полярный Круг, д. 6</t>
  </si>
  <si>
    <t>г. Мурманск, ул. Полярный Круг, д. 8</t>
  </si>
  <si>
    <t>г. Мурманск, ул. Полярный Круг, д. 10</t>
  </si>
  <si>
    <t>г. Мурманск, ул. Загородная, д. 13</t>
  </si>
  <si>
    <t>г. Мурманск, ул. Прибрежная, д. 23</t>
  </si>
  <si>
    <t>г. Мурманск, ул. Прибрежная, д. 25</t>
  </si>
  <si>
    <t>г. Мурманск, пр. Кольский, д. 26</t>
  </si>
  <si>
    <t>г. Мурманск, ул. Туристов, д. 11а</t>
  </si>
  <si>
    <t>г. Мурманск, ул. Подгорная, д. 72</t>
  </si>
  <si>
    <t>г. Мурманск, ул. Крупской, д. 52</t>
  </si>
  <si>
    <t>г. Мурманск, ул. Декабристов, д. 10</t>
  </si>
  <si>
    <t>г. Мурманск, ул. Баумана, д. 10</t>
  </si>
  <si>
    <t>г. Мурманск, ул. Баумана, д. 38</t>
  </si>
  <si>
    <t>г. Мурманск, пр-кт Кирова, д. 15</t>
  </si>
  <si>
    <t>г. Мурманск, ул. Бондарная, д. 32</t>
  </si>
  <si>
    <t>г. Мурманск, пр-зд Ледокольный, д. 9</t>
  </si>
  <si>
    <t>г. Мурманск, ул. Халтурина, д. 16</t>
  </si>
  <si>
    <t>г. Мурманск, ул. Беринга, д. 7</t>
  </si>
  <si>
    <t>г. Мурманск, ул. им. капитана Копытова С.Д., д. 6</t>
  </si>
  <si>
    <t>г Мурманск, ул Шабалина, д. 4</t>
  </si>
  <si>
    <t>г. Мурманск, пр-зд им. М. Бабикова, д. 5</t>
  </si>
  <si>
    <t>г. Мурманск, ул. Мурманская, д. 58</t>
  </si>
  <si>
    <t>г. Мурманск, ул. капитана Буркова, д. 25</t>
  </si>
  <si>
    <t>г. Мурманск, ул. капитана Буркова, д. 45</t>
  </si>
  <si>
    <t>г. Мурманск, ул. капитана Буркова, д. 13</t>
  </si>
  <si>
    <t>г. Мурманск, ул. капитана Буркова, д. 29</t>
  </si>
  <si>
    <t>г. Мурманск, ул. Капитана Маклакова, д. 18</t>
  </si>
  <si>
    <t>г. Мурманск, ул. Капитана Маклакова, д. 37</t>
  </si>
  <si>
    <t>г. Мурманск, ул. Адмирала флота Лобова, д. 34</t>
  </si>
  <si>
    <t>г. Мурманск, ул. имени Героя Советского Союза Сивко И.М., д. 3</t>
  </si>
  <si>
    <t>г. Мурманск, ул. Привокзальная, д. 20</t>
  </si>
  <si>
    <t>г. Мурманск, ул. Карла Либкнехта, д. 30а</t>
  </si>
  <si>
    <t>г. Мурманск, ул. Привокзальная, д. 24</t>
  </si>
  <si>
    <t>г. Мурманск, ул. имени академика Книповича Н.М., д. 9а</t>
  </si>
  <si>
    <t>г. Мурманск, ул. им. вице-адмирала Николаева, д. 9</t>
  </si>
  <si>
    <t>г. Мурманск, ул. Пищевиков, д. 6</t>
  </si>
  <si>
    <t>г. Мурманск, ул. им. Генерала А.А. Журбы, д. 4</t>
  </si>
  <si>
    <t>г. Мурманск, ул. имени Гаджиева, д. 8</t>
  </si>
  <si>
    <t>г. Мурманск, ул. Полярные Зори, д. 7</t>
  </si>
  <si>
    <t>г. Мурманск, пр. Кольский, д. 162</t>
  </si>
  <si>
    <t>г. Мурманск, пр-зд Связи, д. 16</t>
  </si>
  <si>
    <t>г. Мурманск, ул. имени Ивана Ивановича Александрова, д. 40</t>
  </si>
  <si>
    <t>г. Мурманск, ул. Зои Космодемьянской, д. 1</t>
  </si>
  <si>
    <t>г. Мурманск, ул. Фадеев Ручей, д. 26</t>
  </si>
  <si>
    <t>г. Мурманск, ул. Фестивальная, д. 9</t>
  </si>
  <si>
    <t>г. Мурманск, ул. Крупской, д. 54</t>
  </si>
  <si>
    <t>г. Мурманск, пер. Якорный, д. 6</t>
  </si>
  <si>
    <t>г. Мурманск, ш. Верхне-Ростинское, д. 13</t>
  </si>
  <si>
    <t>г. Оленегорск, ул. Ветеранов, д. 6</t>
  </si>
  <si>
    <t>г. Оленегорск, ул. Капитана Иванова, д. 5</t>
  </si>
  <si>
    <t>г. Оленегорск, ул. Мира, д. 5</t>
  </si>
  <si>
    <t>г. Оленегорск, ул. Мира, д. 12</t>
  </si>
  <si>
    <t>нп Высокий, ул. Можаева, д. 17</t>
  </si>
  <si>
    <t>г. Оленегорск, ул. Строительная, д. 72</t>
  </si>
  <si>
    <t>г. Оленегорск, ул. Южная, д. 5</t>
  </si>
  <si>
    <t>г. Мурманск, ул. Гвардейская, д. 7</t>
  </si>
  <si>
    <t>ЗАТО п. Видяево, ул. Заречная, д. 7</t>
  </si>
  <si>
    <t>ЗАТО п. Видяево, ул. Заречная, д. 34</t>
  </si>
  <si>
    <t>Итого по Мурманской области на 2017 год:</t>
  </si>
  <si>
    <t>Итого по муниципальному образованию на 2017 год:</t>
  </si>
  <si>
    <t>Итого Терский муниципальный район на 2017 год:</t>
  </si>
  <si>
    <t>Итого Ловозерский муниципальный район на 2017 год:</t>
  </si>
  <si>
    <t>Итого Кольский муниципальный район на 2017 год:</t>
  </si>
  <si>
    <t>Итого Кандалакшский муниципальный район на 2017 год:</t>
  </si>
  <si>
    <t>ЗАТО г. Заозерск, ул. Колышкина, д. 14</t>
  </si>
  <si>
    <t>ЗАТО г. Заозерск, ул. Флотская, д. 4</t>
  </si>
  <si>
    <t>с. Алакуртти, наб. Нижняя, д. 5</t>
  </si>
  <si>
    <t>с. Алакуртти, ул. Кузнецова, д. 17</t>
  </si>
  <si>
    <t>Панельный</t>
  </si>
  <si>
    <t>г. Полярные Зори, пр-кт Нивский, д. 10</t>
  </si>
  <si>
    <t>г. Полярные Зори, пр-кт Нивский, д. 14</t>
  </si>
  <si>
    <t>г. Полярные Зори, ул. Ломоносова, д. 25, корп.1</t>
  </si>
  <si>
    <t>г. Полярные Зори, ул. Ломоносова, д. 25, корп.2</t>
  </si>
  <si>
    <t>г. Полярные Зори, ул. Партизан Заполярья, д. 7</t>
  </si>
  <si>
    <t>нп Африканда, ул. Комсомольская, д. 7</t>
  </si>
  <si>
    <t>нп Африканда, ул. Комсомольская, д. 8</t>
  </si>
  <si>
    <t>нп Зашеек, ул. Школьная, д. 10</t>
  </si>
  <si>
    <t>нп Африканда, ул. Первомайская, д. 7</t>
  </si>
  <si>
    <t>нп Африканда, ул. Советская, д. 9</t>
  </si>
  <si>
    <t xml:space="preserve">нп Зашеек, ул.Северная аллея, д. 1 </t>
  </si>
  <si>
    <t xml:space="preserve">деревянные </t>
  </si>
  <si>
    <t>пгт Зеленоборский, ул. Первомайская, д. 5а</t>
  </si>
  <si>
    <t>пгт Зеленоборский, ул. Заводская, д. 12</t>
  </si>
  <si>
    <t>нп Лесозаводский, ул. Центральная, д. 41</t>
  </si>
  <si>
    <t>пгт Зеленоборский, ул. Магистральная, д. 90</t>
  </si>
  <si>
    <t>пгт Зеленоборский, ул. Привокзальная, д. 10</t>
  </si>
  <si>
    <t>кирпич</t>
  </si>
  <si>
    <t>г. Кандалакша, ул. Букина, д. 1</t>
  </si>
  <si>
    <t>г. Кандалакша, ул. Чкалова, д. 39</t>
  </si>
  <si>
    <t>г. Кандалакша, ул. Кировская, д. 37</t>
  </si>
  <si>
    <t>г. Кандалакша, ул. Букина, д. 5</t>
  </si>
  <si>
    <t>г. Кандалакша, ул. Кировская аллея, д. 11</t>
  </si>
  <si>
    <t>г. Кандалакша, ул. Кировская аллея, д. 12</t>
  </si>
  <si>
    <t>пгт Верхнетуломский, ул. Падунская, д. 2</t>
  </si>
  <si>
    <t xml:space="preserve"> кирпич</t>
  </si>
  <si>
    <t>г. Кола, ул. Кривошеева, д. 9</t>
  </si>
  <si>
    <t>г. Кола, ул. Кривошеева, д. 11</t>
  </si>
  <si>
    <t>г. Кола, ул. Кривошеева, д. 6</t>
  </si>
  <si>
    <t>пгт Молочный, ул. Заречная, д. 3</t>
  </si>
  <si>
    <t>пгт Молочный, ул. Заречная, д. 6</t>
  </si>
  <si>
    <t xml:space="preserve">пгт Молочный, ул. Гальченко, д. 9 </t>
  </si>
  <si>
    <t>г. Кола, пр-кт Советский, д. 37</t>
  </si>
  <si>
    <t>г. Кола, пр-кт Советский, д. 15</t>
  </si>
  <si>
    <t>г. Кола, пр-кт Советский, д. 39</t>
  </si>
  <si>
    <t>г. Кола, пр-кт Советский, д. 42</t>
  </si>
  <si>
    <t>г. Кола, пр-кт Миронова, д. 22</t>
  </si>
  <si>
    <t>пгт Молочный, ул. Гальченко, д.13</t>
  </si>
  <si>
    <t>пгт Молочный, ул. Северная, д. 6</t>
  </si>
  <si>
    <t>г. Гаджиево, ул. Колышкина, д. 116</t>
  </si>
  <si>
    <t>г. Гаджиево, ул. Душенова, д. 87</t>
  </si>
  <si>
    <t>г. Гаджиево, ул. Душенова, д. 88</t>
  </si>
  <si>
    <t>г. Гаджиево, ул. Душенова, д. 90</t>
  </si>
  <si>
    <t>г. Гаджиево, ул. Мира, д. 80</t>
  </si>
  <si>
    <t>г. Гаджиево, ул. Мира, д. 81</t>
  </si>
  <si>
    <t>г. Гаджиево, ул. Колышкина, д. 129</t>
  </si>
  <si>
    <t>г. Снежногорск, мкр. Скальный, д. 3</t>
  </si>
  <si>
    <t>г. Снежногорск, ул. Победы, д. 1/1</t>
  </si>
  <si>
    <t>г. Снежногорск, ул. Бирюкова, д. 11</t>
  </si>
  <si>
    <t>г. Снежногорск, ул. Октябрьская, д. 8</t>
  </si>
  <si>
    <t>г. Снежногорск, ул. Октябрьская, д. 10</t>
  </si>
  <si>
    <t>г. Снежногорск, ул. П. Стеблина, д. 35</t>
  </si>
  <si>
    <t>г. Снежногорск, ул. Октябрьская, д. 7</t>
  </si>
  <si>
    <t>г. Полярный, ул. Красный Горн, д. 21</t>
  </si>
  <si>
    <t>г. Полярный, ул. Героев "Тумана", д. 12</t>
  </si>
  <si>
    <t>г. Полярный, ул. Сивко, д. 1</t>
  </si>
  <si>
    <t>г. Полярный, ул. Сивко, д. 3</t>
  </si>
  <si>
    <t xml:space="preserve">г. Полярный, ул. Видяева, д. 11 </t>
  </si>
  <si>
    <t>г. Полярный, ул. Лунина, д. 7</t>
  </si>
  <si>
    <t>г. Полярный, ул. Советская, д. 2</t>
  </si>
  <si>
    <t>г. Полярный, ул. Фисановича, д. 1</t>
  </si>
  <si>
    <t>г. Полярный, ул. Фисановича, д. 3</t>
  </si>
  <si>
    <t>г. Полярный, ул. Душенова, д. 7</t>
  </si>
  <si>
    <t>г. Полярный, ул. Красный Горн, д. 19</t>
  </si>
  <si>
    <t xml:space="preserve">г. Полярный, ул. Сивко, д. 5 </t>
  </si>
  <si>
    <t xml:space="preserve">г. Гаджиево, ул. Душенова, д. 91 </t>
  </si>
  <si>
    <t>крупнопанельные</t>
  </si>
  <si>
    <t>крупнопанельные+кирпич</t>
  </si>
  <si>
    <t>5</t>
  </si>
  <si>
    <t>ВДИС</t>
  </si>
  <si>
    <t>крыша</t>
  </si>
  <si>
    <t>фасад</t>
  </si>
  <si>
    <t>882,1/2337,78</t>
  </si>
  <si>
    <t>г. Мончегорск, ул. Бредова, д. 15</t>
  </si>
  <si>
    <t>г. Мончегорск, пр. Металлургов, д. 22</t>
  </si>
  <si>
    <t>г. Мончегорск, ул. Бредова, д. 28</t>
  </si>
  <si>
    <t xml:space="preserve">г. Мончегорск, ул. Бредова, д. 5 </t>
  </si>
  <si>
    <t>г. Мончегорск, ул. Бредова, д. 26</t>
  </si>
  <si>
    <t>г. Мончегорск, ул. Ферсмана, д. 5</t>
  </si>
  <si>
    <t>шлакобл.</t>
  </si>
  <si>
    <t>нп Оленья Губа, ул. Дьяченко, д. 41</t>
  </si>
  <si>
    <t>г. Полярный, ул. Лунина, д. 12</t>
  </si>
  <si>
    <t>пгт Мурмаши, ул. Советская, д. 31</t>
  </si>
  <si>
    <t>пгт Мурмаши, ул. Советская, д. 15</t>
  </si>
  <si>
    <t>пгт Мурмаши, ул. Московская, д. 16</t>
  </si>
  <si>
    <t>пгт Мурмаши, ул. Советская, д. 6</t>
  </si>
  <si>
    <t>пгт Мурмаши, ул. Молодежная, д. 1</t>
  </si>
  <si>
    <t>деревянные</t>
  </si>
  <si>
    <t>Муниципальное образование сельское поселение Териберка Кольского района</t>
  </si>
  <si>
    <t xml:space="preserve">с. Териберка, ул. Пионерская, д. 7 
</t>
  </si>
  <si>
    <t>с. Ловозеро, ул. Вокуева, д. 9</t>
  </si>
  <si>
    <t>пгт Ревда, ул. Комсомольская, д. 17</t>
  </si>
  <si>
    <t>Кирпич</t>
  </si>
  <si>
    <t>Панель</t>
  </si>
  <si>
    <t>нп Минькино, д. 150а</t>
  </si>
  <si>
    <t>нп Мишуково, д. 2а</t>
  </si>
  <si>
    <t>кирпичный</t>
  </si>
  <si>
    <t>панельный</t>
  </si>
  <si>
    <t>с.п. Пушной, ул. Центральная, д. 12</t>
  </si>
  <si>
    <t>пгт Ревда, ул. Комсомольская, д. 19</t>
  </si>
  <si>
    <t xml:space="preserve">г. Полярный, ул. Моисеева, д. 4 </t>
  </si>
  <si>
    <t>пгт Никель, пр-кт Гвардейский, д. 8</t>
  </si>
  <si>
    <t>пгт Никель, ул. 14 Армии, д. 10</t>
  </si>
  <si>
    <t>пгт Никель, ул. Октябрьская, д. 6</t>
  </si>
  <si>
    <t>пгт Никель, пр-кт Гвардейский, д. 25</t>
  </si>
  <si>
    <t>пгт Никель, пр-кт Гвардейский, д. 12</t>
  </si>
  <si>
    <t>пгт Никель, пр-кт Гвардейский, д. 14</t>
  </si>
  <si>
    <t>пгт Никель, ул. Победы, д. 13</t>
  </si>
  <si>
    <t>пгт Никель, пр-кт Гвардейский, д. 13</t>
  </si>
  <si>
    <t>пгт Никель, пр-кт Гвардейский, д. 10</t>
  </si>
  <si>
    <t>пгт Никель, ул. Бредова, д. 1</t>
  </si>
  <si>
    <t>пгт Никель, пр-кт Гвардейский, д. 17</t>
  </si>
  <si>
    <t>пгт Никель, пр-кт Гвардейский, д. 18</t>
  </si>
  <si>
    <t>пгт Никель, пр-кт Гвардейский, д. 2</t>
  </si>
  <si>
    <t>пгт Никель, ул. Советская, д. 10</t>
  </si>
  <si>
    <t>пгт Никель, пер. Молодежный, д. 9</t>
  </si>
  <si>
    <t>пгт Никель, ул. Советская, д. 7а</t>
  </si>
  <si>
    <t>пгт Никель, ул. Советская, д. 7б</t>
  </si>
  <si>
    <t>пгт Кильдинстрой, ул. Советская, д. 12</t>
  </si>
  <si>
    <t>ж/д ст. Магнетиты, ул. Зеленая, д. 4</t>
  </si>
  <si>
    <t>г.п. Умба, ул. Беломорская, д. 6</t>
  </si>
  <si>
    <t>г.п. Умба, ул. Беломорская, д. 7а</t>
  </si>
  <si>
    <t>г.п. Умба, ул. Совхозная, д. 17б</t>
  </si>
  <si>
    <t>г. Североморск, ул. Северная Застава, д. 6</t>
  </si>
  <si>
    <t>г. Североморск, ул. Северная Застава, д. 18</t>
  </si>
  <si>
    <t>г. Североморск, ул. Адмирала Сизова, д. 2</t>
  </si>
  <si>
    <t>г. Североморск, ул. Адмирала Сизова, д. 3</t>
  </si>
  <si>
    <t>г. Североморск, ул. Адмирала Сизова, д. 17</t>
  </si>
  <si>
    <t>г. Североморск, ул. Адмирала Сизова, д. 21</t>
  </si>
  <si>
    <t>г. Североморск, ул. Северная Застава, д. 32</t>
  </si>
  <si>
    <t>г. Североморск, ул. Колышкина, д. 7</t>
  </si>
  <si>
    <t>г. Североморск, ул. Колышкина, д. 9</t>
  </si>
  <si>
    <t>г. Североморск, ул. Колышкина, д. 14</t>
  </si>
  <si>
    <t>г. Североморск, ул. Кирова, д. 18</t>
  </si>
  <si>
    <t>г. Североморск, ул. Гаджиева, д. 11</t>
  </si>
  <si>
    <t>г. Североморск, ул. Гвардейская, д. 35</t>
  </si>
  <si>
    <t>г. Североморск, ул. Фулика, д. 3</t>
  </si>
  <si>
    <t>г. Североморск, ул. Фулика, д. 4</t>
  </si>
  <si>
    <t>г. Североморск, ул. Советская, д. 10</t>
  </si>
  <si>
    <t>г. Североморск, ул. Флотских Строителей, д. 2</t>
  </si>
  <si>
    <t>г. Североморск, ул. Кортик, д. 12</t>
  </si>
  <si>
    <t>пгт Сафоново, ул. Панина, д. 10</t>
  </si>
  <si>
    <t>г. Североморск, ул. Комсомольская, д. 26</t>
  </si>
  <si>
    <t>кр.пан.</t>
  </si>
  <si>
    <t>кирп.</t>
  </si>
  <si>
    <t>г. Мурманск, ул. Шевченко, д. 7а</t>
  </si>
  <si>
    <t>г. Гаджиево, ул. Ленина, д. 76</t>
  </si>
  <si>
    <t>г. Гаджиево, наб. С. Преминина, д. 111</t>
  </si>
  <si>
    <t>г. Гаджиево, наб. С. Преминина, д. 123</t>
  </si>
  <si>
    <t>г. Гаджиево, наб. С. Преминина, д. 119</t>
  </si>
  <si>
    <t>пгт Сафоново, ул. Школьная, д. 9</t>
  </si>
  <si>
    <t>пгт Сафоново, ул. Преображенского, д. 3</t>
  </si>
  <si>
    <t>г. Мончегорск, ул. Бредова, д. 15а</t>
  </si>
  <si>
    <t>г. Мончегорск, пр. Металлургов, д. 68</t>
  </si>
  <si>
    <t>г. Североморск, ул. Душенова, д. 28</t>
  </si>
  <si>
    <t>Итого Печенгский муниципальный район на 2017 год:</t>
  </si>
  <si>
    <t>г. Мурманск, ул. Юрия Гагарина, д. 9, корп. 3</t>
  </si>
  <si>
    <t>г. Мурманск, ул. Юрия Гагарина, д. 9, корп. 2</t>
  </si>
  <si>
    <t>г. Мурманск, пр. Кольский, д. 104, корп. 1</t>
  </si>
  <si>
    <t>г. Заполярный, пер.Стрельцова, д. 3</t>
  </si>
  <si>
    <t>г. Заполярный, пер. Ясный, д. 6</t>
  </si>
  <si>
    <t>г. Заполярный, ул. Бабикова, д. 7/1</t>
  </si>
  <si>
    <t>г. Заполярный, ул. Бабикова, д. 15</t>
  </si>
  <si>
    <t>г. Заполярный, ул. Бабикова, д. 17</t>
  </si>
  <si>
    <t>г. Заполярный, ул. Карла Маркса, д. 3</t>
  </si>
  <si>
    <t>г. Заполярный, ул. Карла Маркса, д. 9</t>
  </si>
  <si>
    <t>г. Заполярный, ул. Космонавтов, д. 6</t>
  </si>
  <si>
    <t>г. Заполярный, ул. Космонавтов, д. 12</t>
  </si>
  <si>
    <t>г. Заполярный, ул. Крупской, д. 3</t>
  </si>
  <si>
    <t>г. Заполярный, ул. Крупской, д. 5</t>
  </si>
  <si>
    <t>г. Заполярный, ул. Ленина, д. 9</t>
  </si>
  <si>
    <t>г. Заполярный, ул. Ленина, д. 10</t>
  </si>
  <si>
    <t>г. Заполярный, ул. Ленина, д. 13</t>
  </si>
  <si>
    <t>г. Заполярный, ул. Мира, д. 2</t>
  </si>
  <si>
    <t>г. Заполярный, ул. Сафонова, д. 2</t>
  </si>
  <si>
    <t>г. Мурманск, пр. Героев-Североморцев, д. 7, корп. 1</t>
  </si>
  <si>
    <t>г. Мурманск, ул. Героев Рыбачьего, д. 35, корп. 1</t>
  </si>
  <si>
    <t>г. Мурманск, ул. имени Героя Советского Союза Сивко И.М., д. 9, корп. 2</t>
  </si>
  <si>
    <t>г. Мурманск, ул. Крупской, д. 40а</t>
  </si>
  <si>
    <t>г. Мурманск, ул. Свердлова, д. 10, корп. 1</t>
  </si>
  <si>
    <t>г. Мурманск, ул. Свердлова, д. 10, корп. 2</t>
  </si>
  <si>
    <t>г. Мурманск, ул. Свердлова, д. 10, корп. 3</t>
  </si>
  <si>
    <t>г. Мурманск, ул. Свердлова, д. 14, корп. 1</t>
  </si>
  <si>
    <t>г. Мурманск, ул. Свердлова, д. 6, корп. 1</t>
  </si>
  <si>
    <t xml:space="preserve">г. Мурманск, ул. Шмидта, д. 1, корп. 1 </t>
  </si>
  <si>
    <t>1970</t>
  </si>
  <si>
    <t>1972</t>
  </si>
  <si>
    <t>1971</t>
  </si>
  <si>
    <t>1952</t>
  </si>
  <si>
    <t>1975</t>
  </si>
  <si>
    <t>1953</t>
  </si>
  <si>
    <t>1947</t>
  </si>
  <si>
    <t>1991</t>
  </si>
  <si>
    <t>1951</t>
  </si>
  <si>
    <t>1948</t>
  </si>
  <si>
    <t>1994</t>
  </si>
  <si>
    <t>г. Мурманск, ул. Кильдинская, д. 21</t>
  </si>
  <si>
    <t>г. Мончегорск, наб. Климентьева, д. 3</t>
  </si>
  <si>
    <t>г. Заполярный, ул. Юбилейная, д. 4</t>
  </si>
  <si>
    <t>г. Кандалакша, ул. Фрунзе, д. 8</t>
  </si>
  <si>
    <t>г. Мончегорск, ул. Бредова, д. 5а</t>
  </si>
  <si>
    <t>г. Кировск, пр. Ленина, д. 35</t>
  </si>
  <si>
    <t>г. Оленегорск, ул. Бардина, д. 36</t>
  </si>
</sst>
</file>

<file path=xl/styles.xml><?xml version="1.0" encoding="utf-8"?>
<styleSheet xmlns="http://schemas.openxmlformats.org/spreadsheetml/2006/main">
  <numFmts count="9">
    <numFmt numFmtId="43" formatCode="_-* #,##0.00_р_._-;\-* #,##0.00_р_._-;_-* &quot;-&quot;??_р_._-;_-@_-"/>
    <numFmt numFmtId="164" formatCode="[$-419]General"/>
    <numFmt numFmtId="165" formatCode="_-* #,##0.000_р_._-;\-* #,##0.000_р_._-;_-* &quot;-&quot;??_р_._-;_-@_-"/>
    <numFmt numFmtId="166" formatCode="#,##0.0"/>
    <numFmt numFmtId="167" formatCode="0.0"/>
    <numFmt numFmtId="168" formatCode="_-* #,##0.0_р_._-;\-* #,##0.0_р_._-;_-* &quot;-&quot;??_р_._-;_-@_-"/>
    <numFmt numFmtId="169" formatCode="#,##0.00;[Red]#,##0.00"/>
    <numFmt numFmtId="170" formatCode="#,##0.0_ ;\-#,##0.0\ "/>
    <numFmt numFmtId="171" formatCode="_-* #,##0.0000_р_._-;\-* #,##0.0000_р_._-;_-* &quot;-&quot;??_р_._-;_-@_-"/>
  </numFmts>
  <fonts count="41"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3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94BD5E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 style="thin">
        <color indexed="64"/>
      </top>
      <bottom/>
      <diagonal/>
    </border>
    <border>
      <left/>
      <right style="thin">
        <color indexed="0"/>
      </right>
      <top style="thin">
        <color indexed="64"/>
      </top>
      <bottom/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0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64"/>
      </bottom>
      <diagonal/>
    </border>
  </borders>
  <cellStyleXfs count="31">
    <xf numFmtId="0" fontId="0" fillId="0" borderId="0" applyNumberFormat="0" applyBorder="0" applyProtection="0">
      <alignment horizontal="left" vertical="center" wrapText="1"/>
    </xf>
    <xf numFmtId="164" fontId="15" fillId="0" borderId="0" applyBorder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6" fillId="8" borderId="25" applyNumberFormat="0" applyAlignment="0" applyProtection="0"/>
    <xf numFmtId="0" fontId="17" fillId="9" borderId="26" applyNumberFormat="0" applyAlignment="0" applyProtection="0"/>
    <xf numFmtId="0" fontId="18" fillId="9" borderId="25" applyNumberFormat="0" applyAlignment="0" applyProtection="0"/>
    <xf numFmtId="0" fontId="19" fillId="0" borderId="27" applyNumberFormat="0" applyFill="0" applyAlignment="0" applyProtection="0"/>
    <xf numFmtId="0" fontId="20" fillId="0" borderId="28" applyNumberFormat="0" applyFill="0" applyAlignment="0" applyProtection="0"/>
    <xf numFmtId="0" fontId="21" fillId="0" borderId="2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30" applyNumberFormat="0" applyFill="0" applyAlignment="0" applyProtection="0"/>
    <xf numFmtId="0" fontId="23" fillId="10" borderId="31" applyNumberFormat="0" applyAlignment="0" applyProtection="0"/>
    <xf numFmtId="0" fontId="24" fillId="0" borderId="0" applyNumberFormat="0" applyFill="0" applyBorder="0" applyAlignment="0" applyProtection="0"/>
    <xf numFmtId="0" fontId="25" fillId="11" borderId="0" applyNumberFormat="0" applyBorder="0" applyAlignment="0" applyProtection="0"/>
    <xf numFmtId="0" fontId="8" fillId="0" borderId="0"/>
    <xf numFmtId="0" fontId="1" fillId="0" borderId="0" applyNumberFormat="0" applyBorder="0" applyProtection="0">
      <alignment horizontal="left" vertical="center" wrapText="1"/>
    </xf>
    <xf numFmtId="0" fontId="1" fillId="0" borderId="0" applyNumberFormat="0" applyBorder="0" applyProtection="0">
      <alignment horizontal="left" vertical="center" wrapText="1"/>
    </xf>
    <xf numFmtId="0" fontId="26" fillId="12" borderId="0" applyNumberFormat="0" applyBorder="0" applyAlignment="0" applyProtection="0"/>
    <xf numFmtId="0" fontId="27" fillId="0" borderId="0" applyNumberFormat="0" applyFill="0" applyBorder="0" applyAlignment="0" applyProtection="0"/>
    <xf numFmtId="0" fontId="13" fillId="13" borderId="32" applyNumberFormat="0" applyFont="0" applyAlignment="0" applyProtection="0"/>
    <xf numFmtId="0" fontId="28" fillId="0" borderId="33" applyNumberFormat="0" applyFill="0" applyAlignment="0" applyProtection="0"/>
    <xf numFmtId="0" fontId="29" fillId="0" borderId="0" applyNumberFormat="0" applyFill="0" applyBorder="0" applyAlignment="0" applyProtection="0"/>
    <xf numFmtId="43" fontId="1" fillId="0" borderId="0" applyFont="0" applyFill="0" applyBorder="0" applyAlignment="0" applyProtection="0">
      <alignment horizontal="left" vertical="center" wrapText="1"/>
    </xf>
    <xf numFmtId="43" fontId="1" fillId="0" borderId="0" applyFont="0" applyFill="0" applyBorder="0" applyAlignment="0" applyProtection="0">
      <alignment horizontal="left" vertical="center" wrapText="1"/>
    </xf>
    <xf numFmtId="0" fontId="30" fillId="14" borderId="0" applyNumberFormat="0" applyBorder="0" applyAlignment="0" applyProtection="0"/>
    <xf numFmtId="0" fontId="1" fillId="0" borderId="0" applyNumberFormat="0" applyBorder="0" applyProtection="0">
      <alignment horizontal="left" vertical="center"/>
    </xf>
  </cellStyleXfs>
  <cellXfs count="383">
    <xf numFmtId="0" fontId="0" fillId="0" borderId="0" xfId="0">
      <alignment horizontal="left" vertical="center" wrapText="1"/>
    </xf>
    <xf numFmtId="43" fontId="6" fillId="15" borderId="0" xfId="27" applyFont="1" applyFill="1" applyBorder="1" applyAlignment="1">
      <alignment horizontal="right" vertical="center" wrapText="1"/>
    </xf>
    <xf numFmtId="0" fontId="0" fillId="15" borderId="0" xfId="0" applyFill="1">
      <alignment horizontal="left" vertical="center" wrapText="1"/>
    </xf>
    <xf numFmtId="43" fontId="6" fillId="15" borderId="0" xfId="27" applyFont="1" applyFill="1" applyBorder="1" applyAlignment="1">
      <alignment horizontal="center" vertical="center" wrapText="1"/>
    </xf>
    <xf numFmtId="0" fontId="0" fillId="15" borderId="0" xfId="0" applyFill="1" applyAlignment="1">
      <alignment horizontal="left" vertical="top" wrapText="1"/>
    </xf>
    <xf numFmtId="0" fontId="0" fillId="15" borderId="0" xfId="0" applyFill="1" applyAlignment="1">
      <alignment horizontal="center" vertical="top" wrapText="1"/>
    </xf>
    <xf numFmtId="0" fontId="0" fillId="15" borderId="0" xfId="0" applyFill="1" applyAlignment="1">
      <alignment horizontal="right" vertical="top" wrapText="1"/>
    </xf>
    <xf numFmtId="43" fontId="1" fillId="15" borderId="0" xfId="27" applyNumberFormat="1" applyFont="1" applyFill="1" applyAlignment="1">
      <alignment horizontal="right" vertical="top" wrapText="1"/>
    </xf>
    <xf numFmtId="0" fontId="0" fillId="15" borderId="0" xfId="0" applyFill="1" applyAlignment="1">
      <alignment horizontal="center" vertical="center" wrapText="1"/>
    </xf>
    <xf numFmtId="0" fontId="0" fillId="15" borderId="0" xfId="0" applyFill="1" applyAlignment="1">
      <alignment horizontal="right" vertical="center" wrapText="1"/>
    </xf>
    <xf numFmtId="43" fontId="1" fillId="15" borderId="0" xfId="27" applyNumberFormat="1" applyFont="1" applyFill="1" applyAlignment="1">
      <alignment horizontal="right" vertical="center" wrapText="1"/>
    </xf>
    <xf numFmtId="0" fontId="5" fillId="15" borderId="0" xfId="0" applyFont="1" applyFill="1">
      <alignment horizontal="left" vertical="center" wrapText="1"/>
    </xf>
    <xf numFmtId="0" fontId="5" fillId="15" borderId="0" xfId="0" applyFont="1" applyFill="1" applyAlignment="1">
      <alignment horizontal="center" vertical="center" wrapText="1"/>
    </xf>
    <xf numFmtId="0" fontId="5" fillId="15" borderId="0" xfId="0" applyFont="1" applyFill="1" applyAlignment="1">
      <alignment horizontal="right" vertical="center" wrapText="1"/>
    </xf>
    <xf numFmtId="43" fontId="5" fillId="15" borderId="0" xfId="27" applyNumberFormat="1" applyFont="1" applyFill="1" applyAlignment="1">
      <alignment horizontal="right" vertical="center" wrapText="1"/>
    </xf>
    <xf numFmtId="0" fontId="3" fillId="15" borderId="0" xfId="0" applyFont="1" applyFill="1" applyAlignment="1">
      <alignment horizontal="center" vertical="center" wrapText="1"/>
    </xf>
    <xf numFmtId="0" fontId="3" fillId="15" borderId="0" xfId="0" applyFont="1" applyFill="1" applyAlignment="1">
      <alignment horizontal="right" vertical="center" wrapText="1"/>
    </xf>
    <xf numFmtId="43" fontId="3" fillId="15" borderId="0" xfId="27" applyNumberFormat="1" applyFont="1" applyFill="1" applyAlignment="1">
      <alignment horizontal="right" vertical="center" wrapText="1"/>
    </xf>
    <xf numFmtId="0" fontId="5" fillId="15" borderId="5" xfId="0" applyFont="1" applyFill="1" applyBorder="1" applyAlignment="1">
      <alignment horizontal="center" vertical="center" textRotation="90" wrapText="1"/>
    </xf>
    <xf numFmtId="43" fontId="5" fillId="15" borderId="5" xfId="27" applyNumberFormat="1" applyFont="1" applyFill="1" applyBorder="1" applyAlignment="1">
      <alignment horizontal="center" vertical="center" wrapText="1"/>
    </xf>
    <xf numFmtId="0" fontId="5" fillId="15" borderId="5" xfId="27" applyNumberFormat="1" applyFont="1" applyFill="1" applyBorder="1" applyAlignment="1">
      <alignment horizontal="center" vertical="center" wrapText="1"/>
    </xf>
    <xf numFmtId="14" fontId="5" fillId="15" borderId="5" xfId="0" applyNumberFormat="1" applyFont="1" applyFill="1" applyBorder="1" applyAlignment="1">
      <alignment horizontal="center" vertical="center" wrapText="1"/>
    </xf>
    <xf numFmtId="43" fontId="6" fillId="15" borderId="1" xfId="27" applyFont="1" applyFill="1" applyBorder="1" applyAlignment="1">
      <alignment horizontal="center" vertical="center" wrapText="1"/>
    </xf>
    <xf numFmtId="0" fontId="5" fillId="15" borderId="0" xfId="0" applyFont="1" applyFill="1" applyBorder="1" applyAlignment="1">
      <alignment horizontal="center" vertical="center" wrapText="1"/>
    </xf>
    <xf numFmtId="0" fontId="0" fillId="15" borderId="0" xfId="0" applyFont="1" applyFill="1">
      <alignment horizontal="left" vertical="center" wrapText="1"/>
    </xf>
    <xf numFmtId="43" fontId="5" fillId="15" borderId="0" xfId="27" applyFont="1" applyFill="1" applyBorder="1" applyAlignment="1">
      <alignment horizontal="right" vertical="center" wrapText="1"/>
    </xf>
    <xf numFmtId="0" fontId="5" fillId="15" borderId="6" xfId="0" applyFont="1" applyFill="1" applyBorder="1" applyAlignment="1">
      <alignment horizontal="left" vertical="center" wrapText="1"/>
    </xf>
    <xf numFmtId="43" fontId="6" fillId="15" borderId="1" xfId="27" applyNumberFormat="1" applyFont="1" applyFill="1" applyBorder="1" applyAlignment="1">
      <alignment horizontal="right" vertical="center" wrapText="1"/>
    </xf>
    <xf numFmtId="43" fontId="6" fillId="15" borderId="1" xfId="27" applyFont="1" applyFill="1" applyBorder="1" applyAlignment="1">
      <alignment horizontal="right" vertical="center" wrapText="1"/>
    </xf>
    <xf numFmtId="0" fontId="2" fillId="15" borderId="0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horizontal="center" vertical="center" wrapText="1"/>
    </xf>
    <xf numFmtId="166" fontId="5" fillId="15" borderId="0" xfId="0" applyNumberFormat="1" applyFont="1" applyFill="1" applyBorder="1" applyAlignment="1"/>
    <xf numFmtId="0" fontId="5" fillId="15" borderId="1" xfId="0" applyFont="1" applyFill="1" applyBorder="1">
      <alignment horizontal="left" vertical="center" wrapText="1"/>
    </xf>
    <xf numFmtId="43" fontId="5" fillId="15" borderId="6" xfId="27" applyFont="1" applyFill="1" applyBorder="1" applyAlignment="1">
      <alignment horizontal="right" vertical="center" wrapText="1"/>
    </xf>
    <xf numFmtId="166" fontId="5" fillId="15" borderId="5" xfId="0" applyNumberFormat="1" applyFont="1" applyFill="1" applyBorder="1" applyAlignment="1">
      <alignment horizontal="right" vertical="center" wrapText="1"/>
    </xf>
    <xf numFmtId="166" fontId="5" fillId="15" borderId="1" xfId="0" applyNumberFormat="1" applyFont="1" applyFill="1" applyBorder="1" applyAlignment="1">
      <alignment horizontal="right" vertical="center" wrapText="1"/>
    </xf>
    <xf numFmtId="165" fontId="5" fillId="15" borderId="5" xfId="27" applyNumberFormat="1" applyFont="1" applyFill="1" applyBorder="1" applyAlignment="1">
      <alignment horizontal="right" vertical="center" wrapText="1"/>
    </xf>
    <xf numFmtId="0" fontId="5" fillId="15" borderId="1" xfId="0" applyFont="1" applyFill="1" applyBorder="1" applyAlignment="1">
      <alignment horizontal="left" vertical="center"/>
    </xf>
    <xf numFmtId="0" fontId="6" fillId="15" borderId="0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right" vertical="center"/>
    </xf>
    <xf numFmtId="0" fontId="5" fillId="15" borderId="5" xfId="0" applyNumberFormat="1" applyFont="1" applyFill="1" applyBorder="1" applyAlignment="1">
      <alignment horizontal="center" vertical="center" wrapText="1"/>
    </xf>
    <xf numFmtId="4" fontId="5" fillId="15" borderId="1" xfId="21" applyNumberFormat="1" applyFont="1" applyFill="1" applyBorder="1" applyAlignment="1">
      <alignment horizontal="right" vertical="center" wrapText="1"/>
    </xf>
    <xf numFmtId="0" fontId="5" fillId="15" borderId="1" xfId="21" applyFont="1" applyFill="1" applyBorder="1" applyAlignment="1">
      <alignment horizontal="center" vertical="center" wrapText="1"/>
    </xf>
    <xf numFmtId="4" fontId="6" fillId="15" borderId="1" xfId="21" applyNumberFormat="1" applyFont="1" applyFill="1" applyBorder="1" applyAlignment="1">
      <alignment horizontal="right" vertical="center" wrapText="1"/>
    </xf>
    <xf numFmtId="0" fontId="31" fillId="15" borderId="1" xfId="0" applyFont="1" applyFill="1" applyBorder="1" applyAlignment="1">
      <alignment horizontal="center" vertical="center"/>
    </xf>
    <xf numFmtId="4" fontId="32" fillId="15" borderId="1" xfId="0" applyNumberFormat="1" applyFont="1" applyFill="1" applyBorder="1" applyAlignment="1">
      <alignment horizontal="right" vertical="center" wrapText="1"/>
    </xf>
    <xf numFmtId="4" fontId="32" fillId="15" borderId="0" xfId="0" applyNumberFormat="1" applyFont="1" applyFill="1" applyBorder="1" applyAlignment="1">
      <alignment horizontal="right" vertical="center" wrapText="1"/>
    </xf>
    <xf numFmtId="4" fontId="5" fillId="15" borderId="12" xfId="21" applyNumberFormat="1" applyFont="1" applyFill="1" applyBorder="1" applyAlignment="1">
      <alignment horizontal="right" vertical="center" wrapText="1"/>
    </xf>
    <xf numFmtId="4" fontId="31" fillId="15" borderId="1" xfId="0" applyNumberFormat="1" applyFont="1" applyFill="1" applyBorder="1" applyAlignment="1">
      <alignment horizontal="right" vertical="center"/>
    </xf>
    <xf numFmtId="43" fontId="5" fillId="15" borderId="1" xfId="27" applyNumberFormat="1" applyFont="1" applyFill="1" applyBorder="1" applyAlignment="1">
      <alignment horizontal="center" vertical="center" wrapText="1"/>
    </xf>
    <xf numFmtId="43" fontId="6" fillId="15" borderId="5" xfId="27" applyFont="1" applyFill="1" applyBorder="1" applyAlignment="1">
      <alignment horizontal="right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left" vertical="center" wrapText="1"/>
    </xf>
    <xf numFmtId="43" fontId="5" fillId="15" borderId="5" xfId="27" applyFont="1" applyFill="1" applyBorder="1" applyAlignment="1">
      <alignment horizontal="right" vertical="center" wrapText="1"/>
    </xf>
    <xf numFmtId="43" fontId="5" fillId="15" borderId="5" xfId="27" applyNumberFormat="1" applyFont="1" applyFill="1" applyBorder="1" applyAlignment="1">
      <alignment horizontal="right" vertical="center" wrapText="1"/>
    </xf>
    <xf numFmtId="43" fontId="5" fillId="15" borderId="1" xfId="27" applyFont="1" applyFill="1" applyBorder="1" applyAlignment="1">
      <alignment horizontal="left" vertical="center" wrapText="1"/>
    </xf>
    <xf numFmtId="43" fontId="6" fillId="15" borderId="5" xfId="27" applyNumberFormat="1" applyFont="1" applyFill="1" applyBorder="1" applyAlignment="1">
      <alignment horizontal="right" vertical="center" wrapText="1"/>
    </xf>
    <xf numFmtId="0" fontId="6" fillId="15" borderId="5" xfId="0" applyFont="1" applyFill="1" applyBorder="1" applyAlignment="1">
      <alignment horizontal="center" vertical="center" wrapText="1"/>
    </xf>
    <xf numFmtId="168" fontId="6" fillId="15" borderId="5" xfId="27" applyNumberFormat="1" applyFont="1" applyFill="1" applyBorder="1" applyAlignment="1">
      <alignment horizontal="right" vertical="center" wrapText="1"/>
    </xf>
    <xf numFmtId="0" fontId="32" fillId="15" borderId="1" xfId="0" applyFont="1" applyFill="1" applyBorder="1" applyAlignment="1">
      <alignment horizontal="center" vertical="center"/>
    </xf>
    <xf numFmtId="168" fontId="5" fillId="15" borderId="5" xfId="27" applyNumberFormat="1" applyFont="1" applyFill="1" applyBorder="1" applyAlignment="1">
      <alignment horizontal="right" vertical="center" wrapText="1"/>
    </xf>
    <xf numFmtId="43" fontId="5" fillId="15" borderId="9" xfId="27" applyNumberFormat="1" applyFont="1" applyFill="1" applyBorder="1" applyAlignment="1">
      <alignment horizontal="right" vertical="center" wrapText="1"/>
    </xf>
    <xf numFmtId="0" fontId="5" fillId="15" borderId="1" xfId="0" applyFont="1" applyFill="1" applyBorder="1" applyAlignment="1">
      <alignment horizontal="center"/>
    </xf>
    <xf numFmtId="166" fontId="5" fillId="15" borderId="1" xfId="0" applyNumberFormat="1" applyFont="1" applyFill="1" applyBorder="1" applyAlignment="1">
      <alignment horizontal="right"/>
    </xf>
    <xf numFmtId="4" fontId="5" fillId="15" borderId="1" xfId="0" applyNumberFormat="1" applyFont="1" applyFill="1" applyBorder="1" applyAlignment="1">
      <alignment horizontal="right" vertical="center" wrapText="1"/>
    </xf>
    <xf numFmtId="4" fontId="5" fillId="15" borderId="1" xfId="0" applyNumberFormat="1" applyFont="1" applyFill="1" applyBorder="1" applyAlignment="1">
      <alignment horizontal="right"/>
    </xf>
    <xf numFmtId="4" fontId="0" fillId="15" borderId="0" xfId="0" applyNumberFormat="1" applyFill="1">
      <alignment horizontal="left" vertical="center" wrapText="1"/>
    </xf>
    <xf numFmtId="166" fontId="5" fillId="15" borderId="5" xfId="27" applyNumberFormat="1" applyFont="1" applyFill="1" applyBorder="1" applyAlignment="1">
      <alignment horizontal="right" vertical="center" wrapText="1"/>
    </xf>
    <xf numFmtId="166" fontId="32" fillId="15" borderId="1" xfId="0" applyNumberFormat="1" applyFont="1" applyFill="1" applyBorder="1" applyAlignment="1">
      <alignment horizontal="right" vertical="center"/>
    </xf>
    <xf numFmtId="4" fontId="32" fillId="15" borderId="1" xfId="0" applyNumberFormat="1" applyFont="1" applyFill="1" applyBorder="1" applyAlignment="1">
      <alignment horizontal="right" vertical="center"/>
    </xf>
    <xf numFmtId="166" fontId="6" fillId="15" borderId="5" xfId="27" applyNumberFormat="1" applyFont="1" applyFill="1" applyBorder="1" applyAlignment="1">
      <alignment horizontal="right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5" fillId="15" borderId="5" xfId="0" applyFont="1" applyFill="1" applyBorder="1" applyAlignment="1">
      <alignment vertical="center" wrapText="1"/>
    </xf>
    <xf numFmtId="168" fontId="5" fillId="15" borderId="1" xfId="27" applyNumberFormat="1" applyFont="1" applyFill="1" applyBorder="1" applyAlignment="1">
      <alignment horizontal="right" wrapText="1"/>
    </xf>
    <xf numFmtId="0" fontId="32" fillId="15" borderId="1" xfId="0" applyFont="1" applyFill="1" applyBorder="1" applyAlignment="1">
      <alignment horizontal="center" vertical="center" wrapText="1"/>
    </xf>
    <xf numFmtId="43" fontId="5" fillId="15" borderId="1" xfId="27" applyFont="1" applyFill="1" applyBorder="1" applyAlignment="1">
      <alignment horizontal="right" vertical="center" wrapText="1"/>
    </xf>
    <xf numFmtId="43" fontId="6" fillId="15" borderId="3" xfId="27" applyFont="1" applyFill="1" applyBorder="1" applyAlignment="1">
      <alignment horizontal="right" vertical="center" wrapText="1"/>
    </xf>
    <xf numFmtId="43" fontId="1" fillId="15" borderId="0" xfId="27" applyNumberFormat="1" applyFont="1" applyFill="1">
      <alignment horizontal="left" vertical="center" wrapText="1"/>
    </xf>
    <xf numFmtId="0" fontId="5" fillId="15" borderId="0" xfId="0" applyFont="1" applyFill="1" applyBorder="1" applyAlignment="1">
      <alignment horizontal="left" wrapText="1"/>
    </xf>
    <xf numFmtId="4" fontId="4" fillId="15" borderId="0" xfId="0" applyNumberFormat="1" applyFont="1" applyFill="1" applyAlignment="1">
      <alignment horizontal="right" vertical="center" wrapText="1"/>
    </xf>
    <xf numFmtId="43" fontId="4" fillId="15" borderId="0" xfId="0" applyNumberFormat="1" applyFont="1" applyFill="1" applyAlignment="1">
      <alignment horizontal="right" vertical="center" wrapText="1"/>
    </xf>
    <xf numFmtId="0" fontId="4" fillId="15" borderId="0" xfId="0" applyFont="1" applyFill="1" applyAlignment="1">
      <alignment horizontal="right" vertical="center" wrapText="1"/>
    </xf>
    <xf numFmtId="0" fontId="0" fillId="15" borderId="16" xfId="0" applyFill="1" applyBorder="1" applyAlignment="1">
      <alignment horizontal="right" vertical="center" wrapText="1"/>
    </xf>
    <xf numFmtId="0" fontId="0" fillId="15" borderId="0" xfId="0" applyFill="1" applyBorder="1" applyAlignment="1">
      <alignment horizontal="right" vertical="center" wrapText="1"/>
    </xf>
    <xf numFmtId="43" fontId="0" fillId="15" borderId="0" xfId="0" applyNumberFormat="1" applyFill="1" applyAlignment="1">
      <alignment horizontal="right" vertical="center" wrapText="1"/>
    </xf>
    <xf numFmtId="0" fontId="6" fillId="15" borderId="3" xfId="0" applyFont="1" applyFill="1" applyBorder="1" applyAlignment="1">
      <alignment horizontal="center" vertical="center" wrapText="1"/>
    </xf>
    <xf numFmtId="43" fontId="6" fillId="15" borderId="3" xfId="27" applyNumberFormat="1" applyFont="1" applyFill="1" applyBorder="1" applyAlignment="1">
      <alignment horizontal="right" vertical="center" wrapText="1"/>
    </xf>
    <xf numFmtId="43" fontId="6" fillId="15" borderId="6" xfId="27" applyFont="1" applyFill="1" applyBorder="1" applyAlignment="1">
      <alignment horizontal="center" vertical="center" wrapText="1"/>
    </xf>
    <xf numFmtId="0" fontId="0" fillId="15" borderId="15" xfId="0" applyFill="1" applyBorder="1">
      <alignment horizontal="left" vertical="center" wrapText="1"/>
    </xf>
    <xf numFmtId="0" fontId="0" fillId="15" borderId="15" xfId="0" applyFill="1" applyBorder="1" applyAlignment="1">
      <alignment horizontal="center" vertical="center" wrapText="1"/>
    </xf>
    <xf numFmtId="43" fontId="1" fillId="15" borderId="15" xfId="27" applyNumberFormat="1" applyFont="1" applyFill="1" applyBorder="1">
      <alignment horizontal="left" vertical="center" wrapText="1"/>
    </xf>
    <xf numFmtId="0" fontId="10" fillId="15" borderId="0" xfId="0" applyFont="1" applyFill="1" applyAlignment="1">
      <alignment horizontal="right" vertical="center" wrapText="1"/>
    </xf>
    <xf numFmtId="43" fontId="10" fillId="15" borderId="0" xfId="27" applyNumberFormat="1" applyFont="1" applyFill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15" borderId="3" xfId="0" applyFont="1" applyFill="1" applyBorder="1" applyAlignment="1">
      <alignment horizontal="center" vertical="center" textRotation="90" wrapText="1"/>
    </xf>
    <xf numFmtId="0" fontId="5" fillId="15" borderId="4" xfId="0" applyFont="1" applyFill="1" applyBorder="1" applyAlignment="1">
      <alignment horizontal="center" vertical="center" textRotation="90" wrapText="1"/>
    </xf>
    <xf numFmtId="0" fontId="6" fillId="15" borderId="2" xfId="0" applyFont="1" applyFill="1" applyBorder="1" applyAlignment="1">
      <alignment horizontal="center" vertical="center" wrapText="1"/>
    </xf>
    <xf numFmtId="0" fontId="10" fillId="15" borderId="0" xfId="0" applyFont="1" applyFill="1" applyAlignment="1">
      <alignment horizontal="center" vertical="center" wrapText="1"/>
    </xf>
    <xf numFmtId="0" fontId="5" fillId="15" borderId="11" xfId="0" applyFont="1" applyFill="1" applyBorder="1" applyAlignment="1">
      <alignment horizontal="center" vertical="center" wrapText="1"/>
    </xf>
    <xf numFmtId="0" fontId="32" fillId="0" borderId="1" xfId="0" applyFont="1" applyBorder="1" applyAlignment="1"/>
    <xf numFmtId="0" fontId="32" fillId="0" borderId="1" xfId="0" applyFont="1" applyBorder="1" applyAlignment="1">
      <alignment horizontal="center"/>
    </xf>
    <xf numFmtId="4" fontId="32" fillId="0" borderId="1" xfId="27" applyNumberFormat="1" applyFont="1" applyBorder="1" applyAlignment="1">
      <alignment horizontal="right"/>
    </xf>
    <xf numFmtId="0" fontId="32" fillId="0" borderId="1" xfId="0" applyFont="1" applyBorder="1" applyAlignment="1">
      <alignment horizontal="left" wrapText="1"/>
    </xf>
    <xf numFmtId="4" fontId="32" fillId="0" borderId="1" xfId="0" applyNumberFormat="1" applyFont="1" applyBorder="1" applyAlignment="1">
      <alignment horizontal="left"/>
    </xf>
    <xf numFmtId="4" fontId="7" fillId="15" borderId="0" xfId="0" applyNumberFormat="1" applyFont="1" applyFill="1" applyAlignment="1">
      <alignment vertical="top" wrapText="1"/>
    </xf>
    <xf numFmtId="4" fontId="10" fillId="15" borderId="0" xfId="27" applyNumberFormat="1" applyFont="1" applyFill="1" applyAlignment="1">
      <alignment horizontal="right" vertical="center" wrapText="1"/>
    </xf>
    <xf numFmtId="4" fontId="3" fillId="15" borderId="0" xfId="27" applyNumberFormat="1" applyFont="1" applyFill="1" applyAlignment="1">
      <alignment horizontal="right" vertical="center" wrapText="1"/>
    </xf>
    <xf numFmtId="4" fontId="5" fillId="15" borderId="5" xfId="27" applyNumberFormat="1" applyFont="1" applyFill="1" applyBorder="1" applyAlignment="1">
      <alignment horizontal="center" vertical="center" textRotation="90" wrapText="1"/>
    </xf>
    <xf numFmtId="4" fontId="5" fillId="15" borderId="5" xfId="27" applyNumberFormat="1" applyFont="1" applyFill="1" applyBorder="1" applyAlignment="1">
      <alignment horizontal="center" vertical="center" wrapText="1"/>
    </xf>
    <xf numFmtId="4" fontId="6" fillId="15" borderId="1" xfId="27" applyNumberFormat="1" applyFont="1" applyFill="1" applyBorder="1" applyAlignment="1">
      <alignment horizontal="right" vertical="center" wrapText="1"/>
    </xf>
    <xf numFmtId="4" fontId="5" fillId="15" borderId="5" xfId="27" applyNumberFormat="1" applyFont="1" applyFill="1" applyBorder="1" applyAlignment="1">
      <alignment horizontal="right" vertical="center" wrapText="1"/>
    </xf>
    <xf numFmtId="4" fontId="6" fillId="15" borderId="3" xfId="27" applyNumberFormat="1" applyFont="1" applyFill="1" applyBorder="1" applyAlignment="1">
      <alignment horizontal="right" vertical="center" wrapText="1"/>
    </xf>
    <xf numFmtId="4" fontId="6" fillId="15" borderId="5" xfId="27" applyNumberFormat="1" applyFont="1" applyFill="1" applyBorder="1" applyAlignment="1">
      <alignment horizontal="right" vertical="center" wrapText="1"/>
    </xf>
    <xf numFmtId="4" fontId="32" fillId="15" borderId="1" xfId="27" applyNumberFormat="1" applyFont="1" applyFill="1" applyBorder="1" applyAlignment="1">
      <alignment horizontal="right" vertical="center" wrapText="1"/>
    </xf>
    <xf numFmtId="4" fontId="5" fillId="15" borderId="13" xfId="21" applyNumberFormat="1" applyFont="1" applyFill="1" applyBorder="1" applyAlignment="1">
      <alignment horizontal="right" vertical="center" wrapText="1"/>
    </xf>
    <xf numFmtId="4" fontId="0" fillId="15" borderId="15" xfId="0" applyNumberFormat="1" applyFill="1" applyBorder="1">
      <alignment horizontal="left" vertical="center" wrapText="1"/>
    </xf>
    <xf numFmtId="4" fontId="5" fillId="15" borderId="0" xfId="0" applyNumberFormat="1" applyFont="1" applyFill="1" applyBorder="1" applyAlignment="1">
      <alignment horizontal="left" wrapText="1"/>
    </xf>
    <xf numFmtId="4" fontId="1" fillId="15" borderId="0" xfId="27" applyNumberFormat="1" applyFont="1" applyFill="1" applyAlignment="1">
      <alignment horizontal="right" vertical="center" wrapText="1"/>
    </xf>
    <xf numFmtId="4" fontId="4" fillId="15" borderId="0" xfId="27" applyNumberFormat="1" applyFont="1" applyFill="1" applyAlignment="1">
      <alignment horizontal="right" vertical="center" wrapText="1"/>
    </xf>
    <xf numFmtId="4" fontId="0" fillId="15" borderId="0" xfId="0" applyNumberFormat="1" applyFill="1" applyAlignment="1">
      <alignment horizontal="right" vertical="center" wrapText="1"/>
    </xf>
    <xf numFmtId="3" fontId="5" fillId="15" borderId="5" xfId="27" applyNumberFormat="1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4" fontId="0" fillId="15" borderId="0" xfId="0" applyNumberFormat="1" applyFill="1" applyAlignment="1">
      <alignment horizontal="right" vertical="top" wrapText="1"/>
    </xf>
    <xf numFmtId="4" fontId="5" fillId="15" borderId="0" xfId="0" applyNumberFormat="1" applyFont="1" applyFill="1" applyAlignment="1">
      <alignment horizontal="right" vertical="center" wrapText="1"/>
    </xf>
    <xf numFmtId="4" fontId="10" fillId="15" borderId="0" xfId="0" applyNumberFormat="1" applyFont="1" applyFill="1" applyAlignment="1">
      <alignment horizontal="right" vertical="center" wrapText="1"/>
    </xf>
    <xf numFmtId="4" fontId="3" fillId="15" borderId="0" xfId="0" applyNumberFormat="1" applyFont="1" applyFill="1" applyAlignment="1">
      <alignment horizontal="right" vertical="center" wrapText="1"/>
    </xf>
    <xf numFmtId="4" fontId="5" fillId="15" borderId="5" xfId="0" applyNumberFormat="1" applyFont="1" applyFill="1" applyBorder="1" applyAlignment="1">
      <alignment horizontal="center" vertical="center" wrapText="1"/>
    </xf>
    <xf numFmtId="4" fontId="34" fillId="15" borderId="0" xfId="0" applyNumberFormat="1" applyFont="1" applyFill="1" applyAlignment="1">
      <alignment horizontal="right" vertical="center" wrapText="1"/>
    </xf>
    <xf numFmtId="4" fontId="0" fillId="15" borderId="15" xfId="0" applyNumberFormat="1" applyFill="1" applyBorder="1" applyAlignment="1">
      <alignment horizontal="right" vertical="center" wrapText="1"/>
    </xf>
    <xf numFmtId="0" fontId="5" fillId="15" borderId="10" xfId="0" applyFont="1" applyFill="1" applyBorder="1" applyAlignment="1">
      <alignment horizontal="center" vertical="center" wrapText="1"/>
    </xf>
    <xf numFmtId="4" fontId="6" fillId="15" borderId="8" xfId="27" applyNumberFormat="1" applyFont="1" applyFill="1" applyBorder="1" applyAlignment="1">
      <alignment horizontal="right" vertical="center" wrapText="1"/>
    </xf>
    <xf numFmtId="0" fontId="5" fillId="0" borderId="9" xfId="20" applyFont="1" applyFill="1" applyBorder="1" applyAlignment="1">
      <alignment horizontal="left" vertical="center" wrapText="1"/>
    </xf>
    <xf numFmtId="0" fontId="5" fillId="0" borderId="11" xfId="20" applyFont="1" applyFill="1" applyBorder="1" applyAlignment="1">
      <alignment horizontal="center" vertical="center" wrapText="1"/>
    </xf>
    <xf numFmtId="0" fontId="5" fillId="0" borderId="5" xfId="2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/>
    </xf>
    <xf numFmtId="0" fontId="5" fillId="15" borderId="9" xfId="20" applyFont="1" applyFill="1" applyBorder="1" applyAlignment="1">
      <alignment horizontal="left" vertical="center" wrapText="1"/>
    </xf>
    <xf numFmtId="166" fontId="32" fillId="0" borderId="1" xfId="0" applyNumberFormat="1" applyFont="1" applyFill="1" applyBorder="1" applyAlignment="1">
      <alignment horizontal="right" vertical="center"/>
    </xf>
    <xf numFmtId="166" fontId="5" fillId="0" borderId="5" xfId="27" applyNumberFormat="1" applyFont="1" applyFill="1" applyBorder="1" applyAlignment="1">
      <alignment horizontal="right" vertical="center" wrapText="1"/>
    </xf>
    <xf numFmtId="166" fontId="5" fillId="0" borderId="5" xfId="20" applyNumberFormat="1" applyFont="1" applyFill="1" applyBorder="1" applyAlignment="1">
      <alignment horizontal="right" vertical="center" wrapText="1"/>
    </xf>
    <xf numFmtId="0" fontId="0" fillId="15" borderId="0" xfId="0" applyFill="1" applyAlignment="1">
      <alignment horizontal="left" vertical="center" wrapText="1"/>
    </xf>
    <xf numFmtId="0" fontId="5" fillId="16" borderId="1" xfId="0" applyFont="1" applyFill="1" applyBorder="1" applyAlignment="1">
      <alignment horizontal="left" vertical="top" wrapText="1"/>
    </xf>
    <xf numFmtId="0" fontId="5" fillId="16" borderId="1" xfId="0" applyFont="1" applyFill="1" applyBorder="1" applyAlignment="1">
      <alignment horizontal="center" vertical="top" wrapText="1"/>
    </xf>
    <xf numFmtId="0" fontId="0" fillId="15" borderId="1" xfId="0" applyFont="1" applyFill="1" applyBorder="1">
      <alignment horizontal="left" vertical="center" wrapText="1"/>
    </xf>
    <xf numFmtId="0" fontId="32" fillId="0" borderId="1" xfId="0" applyFont="1" applyFill="1" applyBorder="1" applyAlignment="1">
      <alignment vertical="center"/>
    </xf>
    <xf numFmtId="0" fontId="32" fillId="0" borderId="1" xfId="0" applyFont="1" applyFill="1" applyBorder="1" applyAlignment="1">
      <alignment vertical="center" wrapText="1"/>
    </xf>
    <xf numFmtId="4" fontId="32" fillId="0" borderId="1" xfId="0" applyNumberFormat="1" applyFont="1" applyFill="1" applyBorder="1" applyAlignment="1">
      <alignment horizontal="right" vertical="center"/>
    </xf>
    <xf numFmtId="0" fontId="32" fillId="0" borderId="1" xfId="0" applyFont="1" applyBorder="1" applyAlignment="1">
      <alignment wrapText="1"/>
    </xf>
    <xf numFmtId="0" fontId="32" fillId="0" borderId="1" xfId="0" applyFont="1" applyFill="1" applyBorder="1" applyAlignment="1">
      <alignment horizontal="center" vertical="center" wrapText="1"/>
    </xf>
    <xf numFmtId="0" fontId="32" fillId="19" borderId="1" xfId="0" applyFont="1" applyFill="1" applyBorder="1" applyAlignment="1">
      <alignment horizontal="center" vertical="center" wrapText="1"/>
    </xf>
    <xf numFmtId="0" fontId="37" fillId="19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166" fontId="31" fillId="15" borderId="35" xfId="27" applyNumberFormat="1" applyFont="1" applyFill="1" applyBorder="1" applyAlignment="1" applyProtection="1">
      <alignment horizontal="right"/>
    </xf>
    <xf numFmtId="166" fontId="31" fillId="17" borderId="35" xfId="27" applyNumberFormat="1" applyFont="1" applyFill="1" applyBorder="1" applyAlignment="1" applyProtection="1">
      <alignment horizontal="right"/>
    </xf>
    <xf numFmtId="166" fontId="32" fillId="0" borderId="1" xfId="27" applyNumberFormat="1" applyFont="1" applyBorder="1" applyAlignment="1">
      <alignment horizontal="right"/>
    </xf>
    <xf numFmtId="166" fontId="31" fillId="15" borderId="34" xfId="27" applyNumberFormat="1" applyFont="1" applyFill="1" applyBorder="1" applyAlignment="1" applyProtection="1">
      <alignment horizontal="right"/>
    </xf>
    <xf numFmtId="166" fontId="31" fillId="18" borderId="35" xfId="27" applyNumberFormat="1" applyFont="1" applyFill="1" applyBorder="1" applyAlignment="1" applyProtection="1">
      <alignment horizontal="right"/>
    </xf>
    <xf numFmtId="166" fontId="32" fillId="15" borderId="1" xfId="19" applyNumberFormat="1" applyFont="1" applyFill="1" applyBorder="1"/>
    <xf numFmtId="166" fontId="32" fillId="15" borderId="1" xfId="19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167" fontId="5" fillId="0" borderId="5" xfId="0" applyNumberFormat="1" applyFont="1" applyFill="1" applyBorder="1" applyAlignment="1">
      <alignment horizontal="right" vertical="center" wrapText="1"/>
    </xf>
    <xf numFmtId="168" fontId="5" fillId="0" borderId="5" xfId="27" applyNumberFormat="1" applyFont="1" applyFill="1" applyBorder="1" applyAlignment="1">
      <alignment horizontal="right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1" fontId="5" fillId="15" borderId="1" xfId="27" applyNumberFormat="1" applyFont="1" applyFill="1" applyBorder="1" applyAlignment="1">
      <alignment horizontal="center" vertical="center" wrapText="1"/>
    </xf>
    <xf numFmtId="0" fontId="32" fillId="20" borderId="46" xfId="0" applyFont="1" applyFill="1" applyBorder="1" applyAlignment="1">
      <alignment vertical="center" wrapText="1"/>
    </xf>
    <xf numFmtId="0" fontId="32" fillId="20" borderId="46" xfId="0" applyFont="1" applyFill="1" applyBorder="1" applyAlignment="1">
      <alignment horizontal="center" vertical="center" wrapText="1"/>
    </xf>
    <xf numFmtId="43" fontId="32" fillId="20" borderId="46" xfId="27" applyNumberFormat="1" applyFont="1" applyFill="1" applyBorder="1" applyAlignment="1">
      <alignment horizontal="center" vertical="center" wrapText="1"/>
    </xf>
    <xf numFmtId="0" fontId="5" fillId="20" borderId="47" xfId="0" applyFont="1" applyFill="1" applyBorder="1" applyAlignment="1">
      <alignment horizontal="left" vertical="center" wrapText="1"/>
    </xf>
    <xf numFmtId="0" fontId="5" fillId="0" borderId="47" xfId="0" applyFont="1" applyFill="1" applyBorder="1" applyAlignment="1">
      <alignment horizontal="left" vertical="center" wrapText="1"/>
    </xf>
    <xf numFmtId="166" fontId="5" fillId="20" borderId="48" xfId="0" applyNumberFormat="1" applyFont="1" applyFill="1" applyBorder="1" applyAlignment="1">
      <alignment horizontal="right" vertical="center" wrapText="1"/>
    </xf>
    <xf numFmtId="166" fontId="5" fillId="20" borderId="47" xfId="0" applyNumberFormat="1" applyFont="1" applyFill="1" applyBorder="1" applyAlignment="1">
      <alignment horizontal="right" vertical="center" wrapText="1"/>
    </xf>
    <xf numFmtId="166" fontId="5" fillId="0" borderId="47" xfId="0" applyNumberFormat="1" applyFont="1" applyFill="1" applyBorder="1" applyAlignment="1">
      <alignment horizontal="right" vertical="center" wrapText="1"/>
    </xf>
    <xf numFmtId="4" fontId="5" fillId="20" borderId="47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/>
    <xf numFmtId="0" fontId="5" fillId="15" borderId="39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6" fontId="38" fillId="0" borderId="1" xfId="27" applyNumberFormat="1" applyFont="1" applyFill="1" applyBorder="1" applyAlignment="1">
      <alignment horizontal="right"/>
    </xf>
    <xf numFmtId="166" fontId="38" fillId="0" borderId="10" xfId="27" applyNumberFormat="1" applyFont="1" applyBorder="1" applyAlignment="1" applyProtection="1">
      <alignment horizontal="right" vertical="center"/>
      <protection locked="0"/>
    </xf>
    <xf numFmtId="166" fontId="5" fillId="15" borderId="1" xfId="27" applyNumberFormat="1" applyFont="1" applyFill="1" applyBorder="1" applyAlignment="1">
      <alignment horizontal="right"/>
    </xf>
    <xf numFmtId="166" fontId="5" fillId="15" borderId="46" xfId="0" applyNumberFormat="1" applyFont="1" applyFill="1" applyBorder="1" applyAlignment="1">
      <alignment horizontal="right"/>
    </xf>
    <xf numFmtId="166" fontId="5" fillId="15" borderId="46" xfId="27" applyNumberFormat="1" applyFont="1" applyFill="1" applyBorder="1" applyAlignment="1">
      <alignment horizontal="right"/>
    </xf>
    <xf numFmtId="0" fontId="5" fillId="15" borderId="0" xfId="0" applyFont="1" applyFill="1" applyBorder="1" applyAlignment="1">
      <alignment horizontal="left" vertical="center" wrapText="1"/>
    </xf>
    <xf numFmtId="0" fontId="5" fillId="15" borderId="11" xfId="0" applyFont="1" applyFill="1" applyBorder="1" applyAlignment="1">
      <alignment horizontal="center" vertical="center" wrapText="1"/>
    </xf>
    <xf numFmtId="166" fontId="6" fillId="15" borderId="1" xfId="21" applyNumberFormat="1" applyFont="1" applyFill="1" applyBorder="1" applyAlignment="1">
      <alignment horizontal="right" vertical="center" wrapText="1"/>
    </xf>
    <xf numFmtId="0" fontId="32" fillId="0" borderId="1" xfId="0" applyFont="1" applyFill="1" applyBorder="1" applyAlignment="1"/>
    <xf numFmtId="0" fontId="32" fillId="0" borderId="1" xfId="0" applyFont="1" applyFill="1" applyBorder="1" applyAlignment="1">
      <alignment wrapText="1"/>
    </xf>
    <xf numFmtId="0" fontId="32" fillId="0" borderId="1" xfId="0" applyFont="1" applyFill="1" applyBorder="1" applyAlignment="1">
      <alignment horizontal="center"/>
    </xf>
    <xf numFmtId="0" fontId="5" fillId="0" borderId="1" xfId="21" applyFont="1" applyFill="1" applyBorder="1" applyAlignment="1">
      <alignment horizontal="center" vertical="center" wrapText="1"/>
    </xf>
    <xf numFmtId="0" fontId="5" fillId="0" borderId="1" xfId="21" applyFont="1" applyBorder="1" applyAlignment="1">
      <alignment horizontal="center" vertical="center" wrapText="1"/>
    </xf>
    <xf numFmtId="170" fontId="32" fillId="0" borderId="1" xfId="27" applyNumberFormat="1" applyFont="1" applyFill="1" applyBorder="1" applyAlignment="1">
      <alignment horizontal="right"/>
    </xf>
    <xf numFmtId="170" fontId="32" fillId="0" borderId="1" xfId="27" applyNumberFormat="1" applyFont="1" applyFill="1" applyBorder="1" applyAlignment="1">
      <alignment horizontal="right" vertical="center"/>
    </xf>
    <xf numFmtId="170" fontId="5" fillId="0" borderId="1" xfId="27" applyNumberFormat="1" applyFont="1" applyFill="1" applyBorder="1" applyAlignment="1">
      <alignment horizontal="right" vertical="center" wrapText="1"/>
    </xf>
    <xf numFmtId="170" fontId="5" fillId="0" borderId="1" xfId="27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5" fillId="21" borderId="1" xfId="0" applyNumberFormat="1" applyFont="1" applyFill="1" applyBorder="1" applyAlignment="1">
      <alignment horizontal="center" vertical="center" wrapText="1"/>
    </xf>
    <xf numFmtId="49" fontId="5" fillId="21" borderId="1" xfId="0" applyNumberFormat="1" applyFont="1" applyFill="1" applyBorder="1" applyAlignment="1">
      <alignment horizontal="center" wrapText="1"/>
    </xf>
    <xf numFmtId="0" fontId="5" fillId="21" borderId="1" xfId="0" applyFont="1" applyFill="1" applyBorder="1" applyAlignment="1">
      <alignment horizontal="center" wrapText="1"/>
    </xf>
    <xf numFmtId="0" fontId="5" fillId="21" borderId="1" xfId="0" applyFont="1" applyFill="1" applyBorder="1" applyAlignment="1">
      <alignment horizontal="center" vertical="center" wrapText="1"/>
    </xf>
    <xf numFmtId="4" fontId="5" fillId="0" borderId="1" xfId="21" applyNumberFormat="1" applyFont="1" applyFill="1" applyBorder="1" applyAlignment="1">
      <alignment horizontal="right" vertical="center" wrapText="1"/>
    </xf>
    <xf numFmtId="2" fontId="0" fillId="15" borderId="1" xfId="0" applyNumberFormat="1" applyFont="1" applyFill="1" applyBorder="1">
      <alignment horizontal="left" vertical="center" wrapText="1"/>
    </xf>
    <xf numFmtId="0" fontId="0" fillId="15" borderId="1" xfId="0" applyFill="1" applyBorder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39" fontId="5" fillId="0" borderId="42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>
      <alignment horizontal="right" vertical="center" wrapText="1"/>
    </xf>
    <xf numFmtId="43" fontId="31" fillId="0" borderId="0" xfId="27" applyFont="1">
      <alignment horizontal="left" vertical="center" wrapText="1"/>
    </xf>
    <xf numFmtId="0" fontId="5" fillId="0" borderId="42" xfId="0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166" fontId="5" fillId="15" borderId="1" xfId="27" applyNumberFormat="1" applyFont="1" applyFill="1" applyBorder="1" applyAlignment="1">
      <alignment horizontal="right" vertical="center" wrapText="1"/>
    </xf>
    <xf numFmtId="43" fontId="5" fillId="0" borderId="47" xfId="27" applyFont="1" applyBorder="1" applyAlignment="1">
      <alignment horizontal="center" vertical="center" wrapText="1"/>
    </xf>
    <xf numFmtId="0" fontId="5" fillId="15" borderId="47" xfId="0" applyFont="1" applyFill="1" applyBorder="1" applyAlignment="1"/>
    <xf numFmtId="0" fontId="5" fillId="0" borderId="47" xfId="0" applyFont="1" applyBorder="1" applyAlignment="1">
      <alignment wrapText="1"/>
    </xf>
    <xf numFmtId="0" fontId="5" fillId="15" borderId="47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166" fontId="5" fillId="15" borderId="47" xfId="0" applyNumberFormat="1" applyFont="1" applyFill="1" applyBorder="1" applyAlignment="1"/>
    <xf numFmtId="166" fontId="5" fillId="0" borderId="47" xfId="0" applyNumberFormat="1" applyFont="1" applyBorder="1" applyAlignment="1">
      <alignment wrapText="1"/>
    </xf>
    <xf numFmtId="0" fontId="5" fillId="15" borderId="47" xfId="0" applyFont="1" applyFill="1" applyBorder="1" applyAlignment="1">
      <alignment horizontal="center"/>
    </xf>
    <xf numFmtId="0" fontId="5" fillId="0" borderId="47" xfId="0" applyFont="1" applyBorder="1" applyAlignment="1">
      <alignment horizontal="center" wrapText="1"/>
    </xf>
    <xf numFmtId="0" fontId="5" fillId="20" borderId="1" xfId="0" applyFont="1" applyFill="1" applyBorder="1" applyAlignment="1">
      <alignment horizontal="left" vertical="center" wrapText="1"/>
    </xf>
    <xf numFmtId="0" fontId="5" fillId="20" borderId="1" xfId="0" applyFont="1" applyFill="1" applyBorder="1" applyAlignment="1">
      <alignment horizontal="center" vertical="center" wrapText="1"/>
    </xf>
    <xf numFmtId="168" fontId="5" fillId="20" borderId="1" xfId="27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/>
    </xf>
    <xf numFmtId="43" fontId="5" fillId="0" borderId="8" xfId="27" applyFont="1" applyBorder="1" applyAlignment="1">
      <alignment horizontal="right" vertical="center" wrapText="1"/>
    </xf>
    <xf numFmtId="166" fontId="5" fillId="0" borderId="46" xfId="0" applyNumberFormat="1" applyFont="1" applyFill="1" applyBorder="1" applyAlignment="1">
      <alignment horizontal="right" vertical="center" wrapText="1"/>
    </xf>
    <xf numFmtId="168" fontId="32" fillId="20" borderId="46" xfId="27" applyNumberFormat="1" applyFont="1" applyFill="1" applyBorder="1" applyAlignment="1">
      <alignment horizontal="right" vertical="center" wrapText="1"/>
    </xf>
    <xf numFmtId="166" fontId="6" fillId="15" borderId="3" xfId="27" applyNumberFormat="1" applyFont="1" applyFill="1" applyBorder="1" applyAlignment="1">
      <alignment horizontal="right" vertical="center" wrapText="1"/>
    </xf>
    <xf numFmtId="0" fontId="5" fillId="15" borderId="6" xfId="0" applyFont="1" applyFill="1" applyBorder="1" applyAlignment="1">
      <alignment horizontal="center" vertical="center" wrapText="1"/>
    </xf>
    <xf numFmtId="0" fontId="5" fillId="15" borderId="14" xfId="0" applyFont="1" applyFill="1" applyBorder="1" applyAlignment="1">
      <alignment horizontal="center" vertical="center" wrapText="1"/>
    </xf>
    <xf numFmtId="0" fontId="5" fillId="15" borderId="14" xfId="0" applyFont="1" applyFill="1" applyBorder="1" applyAlignment="1">
      <alignment horizontal="left" vertical="center" wrapText="1"/>
    </xf>
    <xf numFmtId="166" fontId="5" fillId="15" borderId="10" xfId="27" applyNumberFormat="1" applyFont="1" applyFill="1" applyBorder="1" applyAlignment="1">
      <alignment horizontal="right" vertical="center" wrapText="1"/>
    </xf>
    <xf numFmtId="166" fontId="5" fillId="15" borderId="14" xfId="27" applyNumberFormat="1" applyFont="1" applyFill="1" applyBorder="1" applyAlignment="1">
      <alignment horizontal="right" vertical="center" wrapText="1"/>
    </xf>
    <xf numFmtId="166" fontId="5" fillId="15" borderId="6" xfId="27" applyNumberFormat="1" applyFont="1" applyFill="1" applyBorder="1" applyAlignment="1">
      <alignment horizontal="right" vertical="center" wrapText="1"/>
    </xf>
    <xf numFmtId="166" fontId="5" fillId="15" borderId="47" xfId="0" applyNumberFormat="1" applyFont="1" applyFill="1" applyBorder="1" applyAlignment="1">
      <alignment horizontal="right" vertical="center" wrapText="1"/>
    </xf>
    <xf numFmtId="166" fontId="5" fillId="15" borderId="39" xfId="27" applyNumberFormat="1" applyFont="1" applyFill="1" applyBorder="1" applyAlignment="1">
      <alignment horizontal="right" vertical="center" wrapText="1"/>
    </xf>
    <xf numFmtId="166" fontId="5" fillId="15" borderId="49" xfId="27" applyNumberFormat="1" applyFont="1" applyFill="1" applyBorder="1" applyAlignment="1">
      <alignment horizontal="right" vertical="center" wrapText="1"/>
    </xf>
    <xf numFmtId="39" fontId="5" fillId="0" borderId="1" xfId="0" applyNumberFormat="1" applyFont="1" applyFill="1" applyBorder="1" applyAlignment="1">
      <alignment horizontal="right" vertical="center" wrapText="1"/>
    </xf>
    <xf numFmtId="43" fontId="5" fillId="0" borderId="1" xfId="27" applyFont="1" applyFill="1" applyBorder="1" applyAlignment="1">
      <alignment horizontal="right"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5" fillId="15" borderId="47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left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right" vertical="center" wrapText="1"/>
    </xf>
    <xf numFmtId="0" fontId="5" fillId="15" borderId="47" xfId="0" applyFont="1" applyFill="1" applyBorder="1" applyAlignment="1">
      <alignment horizontal="left" vertical="center" wrapText="1"/>
    </xf>
    <xf numFmtId="168" fontId="5" fillId="15" borderId="51" xfId="27" applyNumberFormat="1" applyFont="1" applyFill="1" applyBorder="1" applyAlignment="1">
      <alignment horizontal="center" vertical="center" wrapText="1"/>
    </xf>
    <xf numFmtId="168" fontId="5" fillId="15" borderId="51" xfId="27" applyNumberFormat="1" applyFont="1" applyFill="1" applyBorder="1" applyAlignment="1">
      <alignment horizontal="right" vertical="center" wrapText="1"/>
    </xf>
    <xf numFmtId="0" fontId="5" fillId="15" borderId="51" xfId="0" applyFont="1" applyFill="1" applyBorder="1" applyAlignment="1">
      <alignment horizontal="center" vertical="center" wrapText="1"/>
    </xf>
    <xf numFmtId="0" fontId="5" fillId="15" borderId="51" xfId="0" applyFont="1" applyFill="1" applyBorder="1" applyAlignment="1">
      <alignment horizontal="left" vertical="center" wrapText="1"/>
    </xf>
    <xf numFmtId="0" fontId="5" fillId="20" borderId="5" xfId="0" applyFont="1" applyFill="1" applyBorder="1" applyAlignment="1">
      <alignment horizontal="left" vertical="center" wrapText="1"/>
    </xf>
    <xf numFmtId="0" fontId="5" fillId="20" borderId="5" xfId="0" applyFont="1" applyFill="1" applyBorder="1" applyAlignment="1">
      <alignment horizontal="center" vertical="center" wrapText="1"/>
    </xf>
    <xf numFmtId="0" fontId="5" fillId="20" borderId="52" xfId="0" applyFont="1" applyFill="1" applyBorder="1" applyAlignment="1">
      <alignment horizontal="left" vertical="center" wrapText="1"/>
    </xf>
    <xf numFmtId="43" fontId="5" fillId="20" borderId="52" xfId="27" applyFont="1" applyFill="1" applyBorder="1" applyAlignment="1">
      <alignment horizontal="center" vertical="center" wrapText="1"/>
    </xf>
    <xf numFmtId="0" fontId="5" fillId="20" borderId="53" xfId="0" applyFont="1" applyFill="1" applyBorder="1" applyAlignment="1">
      <alignment horizontal="left" vertical="center" wrapText="1"/>
    </xf>
    <xf numFmtId="0" fontId="5" fillId="20" borderId="53" xfId="0" applyFont="1" applyFill="1" applyBorder="1" applyAlignment="1">
      <alignment horizontal="center" vertical="center" wrapText="1"/>
    </xf>
    <xf numFmtId="0" fontId="5" fillId="20" borderId="54" xfId="0" applyFont="1" applyFill="1" applyBorder="1" applyAlignment="1">
      <alignment horizontal="center" vertical="center" wrapText="1"/>
    </xf>
    <xf numFmtId="43" fontId="0" fillId="15" borderId="0" xfId="27" applyFont="1" applyFill="1">
      <alignment horizontal="left" vertical="center" wrapText="1"/>
    </xf>
    <xf numFmtId="168" fontId="5" fillId="20" borderId="51" xfId="27" applyNumberFormat="1" applyFont="1" applyFill="1" applyBorder="1" applyAlignment="1">
      <alignment horizontal="right" vertical="center" wrapText="1"/>
    </xf>
    <xf numFmtId="168" fontId="5" fillId="20" borderId="55" xfId="27" applyNumberFormat="1" applyFont="1" applyFill="1" applyBorder="1" applyAlignment="1">
      <alignment horizontal="right" vertical="center" wrapText="1"/>
    </xf>
    <xf numFmtId="2" fontId="0" fillId="15" borderId="0" xfId="0" applyNumberFormat="1" applyFill="1">
      <alignment horizontal="left" vertical="center" wrapText="1"/>
    </xf>
    <xf numFmtId="4" fontId="6" fillId="15" borderId="0" xfId="0" applyNumberFormat="1" applyFont="1" applyFill="1" applyAlignment="1">
      <alignment horizontal="center" vertical="center" wrapText="1"/>
    </xf>
    <xf numFmtId="3" fontId="5" fillId="15" borderId="5" xfId="0" applyNumberFormat="1" applyFont="1" applyFill="1" applyBorder="1" applyAlignment="1">
      <alignment horizontal="center" vertical="center" wrapText="1"/>
    </xf>
    <xf numFmtId="0" fontId="5" fillId="15" borderId="11" xfId="0" applyFont="1" applyFill="1" applyBorder="1" applyAlignment="1">
      <alignment horizontal="center" vertical="center" wrapText="1"/>
    </xf>
    <xf numFmtId="0" fontId="32" fillId="15" borderId="1" xfId="0" applyFont="1" applyFill="1" applyBorder="1" applyAlignment="1">
      <alignment horizontal="center"/>
    </xf>
    <xf numFmtId="4" fontId="32" fillId="15" borderId="1" xfId="0" applyNumberFormat="1" applyFont="1" applyFill="1" applyBorder="1" applyAlignment="1">
      <alignment horizontal="left"/>
    </xf>
    <xf numFmtId="39" fontId="5" fillId="15" borderId="42" xfId="0" applyNumberFormat="1" applyFont="1" applyFill="1" applyBorder="1" applyAlignment="1">
      <alignment horizontal="right" vertical="center" wrapText="1"/>
    </xf>
    <xf numFmtId="0" fontId="5" fillId="15" borderId="8" xfId="0" applyFont="1" applyFill="1" applyBorder="1" applyAlignment="1">
      <alignment horizontal="left" vertical="center"/>
    </xf>
    <xf numFmtId="0" fontId="5" fillId="15" borderId="1" xfId="0" applyFont="1" applyFill="1" applyBorder="1" applyAlignment="1">
      <alignment horizontal="center" vertical="center"/>
    </xf>
    <xf numFmtId="166" fontId="5" fillId="15" borderId="37" xfId="0" applyNumberFormat="1" applyFont="1" applyFill="1" applyBorder="1" applyAlignment="1">
      <alignment horizontal="right" vertical="center" wrapText="1"/>
    </xf>
    <xf numFmtId="0" fontId="5" fillId="15" borderId="37" xfId="0" applyFont="1" applyFill="1" applyBorder="1" applyAlignment="1">
      <alignment horizontal="left" vertical="top" wrapText="1"/>
    </xf>
    <xf numFmtId="0" fontId="5" fillId="15" borderId="37" xfId="0" applyFont="1" applyFill="1" applyBorder="1" applyAlignment="1">
      <alignment horizontal="center" vertical="top" wrapText="1"/>
    </xf>
    <xf numFmtId="0" fontId="5" fillId="15" borderId="39" xfId="0" applyFont="1" applyFill="1" applyBorder="1" applyAlignment="1">
      <alignment horizontal="center" vertical="top" wrapText="1"/>
    </xf>
    <xf numFmtId="0" fontId="5" fillId="15" borderId="5" xfId="0" applyFont="1" applyFill="1" applyBorder="1" applyAlignment="1">
      <alignment horizontal="left" vertical="center"/>
    </xf>
    <xf numFmtId="0" fontId="5" fillId="15" borderId="40" xfId="0" applyFont="1" applyFill="1" applyBorder="1" applyAlignment="1">
      <alignment horizontal="center" vertical="top" wrapText="1"/>
    </xf>
    <xf numFmtId="169" fontId="5" fillId="15" borderId="5" xfId="0" applyNumberFormat="1" applyFont="1" applyFill="1" applyBorder="1" applyAlignment="1">
      <alignment horizontal="right" vertical="center"/>
    </xf>
    <xf numFmtId="166" fontId="32" fillId="15" borderId="37" xfId="0" applyNumberFormat="1" applyFont="1" applyFill="1" applyBorder="1" applyAlignment="1">
      <alignment horizontal="right" vertical="center" wrapText="1"/>
    </xf>
    <xf numFmtId="0" fontId="35" fillId="15" borderId="37" xfId="0" applyFont="1" applyFill="1" applyBorder="1" applyAlignment="1">
      <alignment horizontal="left" vertical="center" wrapText="1"/>
    </xf>
    <xf numFmtId="0" fontId="35" fillId="15" borderId="37" xfId="0" applyFont="1" applyFill="1" applyBorder="1" applyAlignment="1">
      <alignment horizontal="center" vertical="center" wrapText="1"/>
    </xf>
    <xf numFmtId="0" fontId="35" fillId="15" borderId="39" xfId="0" applyFont="1" applyFill="1" applyBorder="1" applyAlignment="1">
      <alignment horizontal="center" vertical="center" wrapText="1"/>
    </xf>
    <xf numFmtId="4" fontId="5" fillId="15" borderId="37" xfId="0" applyNumberFormat="1" applyFont="1" applyFill="1" applyBorder="1" applyAlignment="1">
      <alignment horizontal="right" vertical="center" wrapText="1"/>
    </xf>
    <xf numFmtId="166" fontId="5" fillId="15" borderId="37" xfId="30" applyNumberFormat="1" applyFont="1" applyFill="1" applyBorder="1" applyAlignment="1">
      <alignment horizontal="right" vertical="center" wrapText="1"/>
    </xf>
    <xf numFmtId="0" fontId="5" fillId="15" borderId="37" xfId="30" applyFont="1" applyFill="1" applyBorder="1" applyAlignment="1">
      <alignment horizontal="left" vertical="top" wrapText="1"/>
    </xf>
    <xf numFmtId="0" fontId="5" fillId="15" borderId="37" xfId="30" applyFont="1" applyFill="1" applyBorder="1" applyAlignment="1">
      <alignment horizontal="center" vertical="top" wrapText="1"/>
    </xf>
    <xf numFmtId="0" fontId="5" fillId="15" borderId="39" xfId="30" applyFont="1" applyFill="1" applyBorder="1" applyAlignment="1">
      <alignment horizontal="center" vertical="top" wrapText="1"/>
    </xf>
    <xf numFmtId="0" fontId="5" fillId="15" borderId="36" xfId="0" applyFont="1" applyFill="1" applyBorder="1" applyAlignment="1">
      <alignment horizontal="left" vertical="center"/>
    </xf>
    <xf numFmtId="0" fontId="5" fillId="15" borderId="37" xfId="0" applyFont="1" applyFill="1" applyBorder="1" applyAlignment="1">
      <alignment horizontal="left" vertical="center"/>
    </xf>
    <xf numFmtId="0" fontId="5" fillId="15" borderId="37" xfId="0" applyFont="1" applyFill="1" applyBorder="1" applyAlignment="1">
      <alignment vertical="center"/>
    </xf>
    <xf numFmtId="166" fontId="5" fillId="15" borderId="37" xfId="0" applyNumberFormat="1" applyFont="1" applyFill="1" applyBorder="1" applyAlignment="1">
      <alignment horizontal="right" vertical="center"/>
    </xf>
    <xf numFmtId="0" fontId="36" fillId="15" borderId="37" xfId="0" applyFont="1" applyFill="1" applyBorder="1" applyAlignment="1">
      <alignment horizontal="left" vertical="center" wrapText="1"/>
    </xf>
    <xf numFmtId="0" fontId="36" fillId="15" borderId="39" xfId="0" applyFont="1" applyFill="1" applyBorder="1" applyAlignment="1">
      <alignment horizontal="center" vertical="center" wrapText="1"/>
    </xf>
    <xf numFmtId="43" fontId="5" fillId="15" borderId="47" xfId="27" applyNumberFormat="1" applyFont="1" applyFill="1" applyBorder="1" applyAlignment="1">
      <alignment horizontal="right" vertical="center" wrapText="1"/>
    </xf>
    <xf numFmtId="169" fontId="5" fillId="15" borderId="47" xfId="0" applyNumberFormat="1" applyFont="1" applyFill="1" applyBorder="1" applyAlignment="1">
      <alignment horizontal="right" vertical="center"/>
    </xf>
    <xf numFmtId="0" fontId="5" fillId="15" borderId="37" xfId="0" applyFont="1" applyFill="1" applyBorder="1" applyAlignment="1">
      <alignment horizontal="left" vertical="center" wrapText="1"/>
    </xf>
    <xf numFmtId="0" fontId="33" fillId="15" borderId="39" xfId="0" applyFont="1" applyFill="1" applyBorder="1" applyAlignment="1">
      <alignment horizontal="center" vertical="top" wrapText="1"/>
    </xf>
    <xf numFmtId="166" fontId="5" fillId="15" borderId="36" xfId="0" applyNumberFormat="1" applyFont="1" applyFill="1" applyBorder="1" applyAlignment="1">
      <alignment horizontal="right" vertical="center" wrapText="1"/>
    </xf>
    <xf numFmtId="0" fontId="5" fillId="15" borderId="36" xfId="0" applyFont="1" applyFill="1" applyBorder="1" applyAlignment="1">
      <alignment horizontal="left" vertical="top" wrapText="1"/>
    </xf>
    <xf numFmtId="0" fontId="5" fillId="15" borderId="36" xfId="0" applyFont="1" applyFill="1" applyBorder="1" applyAlignment="1">
      <alignment horizontal="center" vertical="top" wrapText="1"/>
    </xf>
    <xf numFmtId="0" fontId="5" fillId="15" borderId="41" xfId="0" applyFont="1" applyFill="1" applyBorder="1" applyAlignment="1">
      <alignment horizontal="center" vertical="top" wrapText="1"/>
    </xf>
    <xf numFmtId="0" fontId="5" fillId="15" borderId="36" xfId="0" applyFont="1" applyFill="1" applyBorder="1" applyAlignment="1">
      <alignment horizontal="left" vertical="center" wrapText="1"/>
    </xf>
    <xf numFmtId="43" fontId="5" fillId="15" borderId="42" xfId="27" applyNumberFormat="1" applyFont="1" applyFill="1" applyBorder="1" applyAlignment="1">
      <alignment horizontal="right" vertical="center" wrapText="1"/>
    </xf>
    <xf numFmtId="0" fontId="5" fillId="15" borderId="56" xfId="0" applyFont="1" applyFill="1" applyBorder="1" applyAlignment="1">
      <alignment horizontal="left" vertical="center"/>
    </xf>
    <xf numFmtId="166" fontId="5" fillId="15" borderId="8" xfId="0" applyNumberFormat="1" applyFont="1" applyFill="1" applyBorder="1" applyAlignment="1">
      <alignment horizontal="right" vertical="center" wrapText="1"/>
    </xf>
    <xf numFmtId="0" fontId="5" fillId="15" borderId="8" xfId="0" applyFont="1" applyFill="1" applyBorder="1" applyAlignment="1">
      <alignment horizontal="left" vertical="top" wrapText="1"/>
    </xf>
    <xf numFmtId="0" fontId="5" fillId="15" borderId="8" xfId="0" applyFont="1" applyFill="1" applyBorder="1" applyAlignment="1">
      <alignment horizontal="center" vertical="top" wrapText="1"/>
    </xf>
    <xf numFmtId="0" fontId="5" fillId="15" borderId="38" xfId="0" applyFont="1" applyFill="1" applyBorder="1" applyAlignment="1">
      <alignment horizontal="center" vertical="top" wrapText="1"/>
    </xf>
    <xf numFmtId="0" fontId="5" fillId="15" borderId="0" xfId="0" applyFont="1" applyFill="1" applyAlignment="1">
      <alignment horizontal="left" vertical="center"/>
    </xf>
    <xf numFmtId="4" fontId="5" fillId="15" borderId="0" xfId="27" applyNumberFormat="1" applyFont="1" applyFill="1" applyBorder="1" applyAlignment="1">
      <alignment horizontal="right" vertical="center" wrapText="1"/>
    </xf>
    <xf numFmtId="169" fontId="32" fillId="15" borderId="5" xfId="0" applyNumberFormat="1" applyFont="1" applyFill="1" applyBorder="1" applyAlignment="1">
      <alignment horizontal="right" vertical="center"/>
    </xf>
    <xf numFmtId="4" fontId="5" fillId="15" borderId="1" xfId="27" applyNumberFormat="1" applyFont="1" applyFill="1" applyBorder="1" applyAlignment="1">
      <alignment horizontal="righ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9" fillId="15" borderId="5" xfId="0" applyFont="1" applyFill="1" applyBorder="1" applyAlignment="1">
      <alignment horizontal="center" vertical="center" wrapText="1"/>
    </xf>
    <xf numFmtId="0" fontId="9" fillId="15" borderId="5" xfId="0" applyFont="1" applyFill="1" applyBorder="1" applyAlignment="1">
      <alignment horizontal="left" vertical="center" wrapText="1"/>
    </xf>
    <xf numFmtId="166" fontId="9" fillId="15" borderId="5" xfId="0" applyNumberFormat="1" applyFont="1" applyFill="1" applyBorder="1" applyAlignment="1">
      <alignment horizontal="right" vertical="center" wrapText="1"/>
    </xf>
    <xf numFmtId="166" fontId="5" fillId="15" borderId="46" xfId="0" applyNumberFormat="1" applyFont="1" applyFill="1" applyBorder="1" applyAlignment="1">
      <alignment horizontal="right" vertical="center" wrapText="1"/>
    </xf>
    <xf numFmtId="43" fontId="5" fillId="15" borderId="50" xfId="27" applyNumberFormat="1" applyFont="1" applyFill="1" applyBorder="1" applyAlignment="1">
      <alignment horizontal="right" vertical="center" wrapText="1"/>
    </xf>
    <xf numFmtId="43" fontId="5" fillId="15" borderId="50" xfId="27" applyFont="1" applyFill="1" applyBorder="1" applyAlignment="1">
      <alignment horizontal="right" vertical="center" wrapText="1"/>
    </xf>
    <xf numFmtId="4" fontId="5" fillId="15" borderId="50" xfId="27" applyNumberFormat="1" applyFont="1" applyFill="1" applyBorder="1" applyAlignment="1">
      <alignment horizontal="right" vertical="center" wrapText="1"/>
    </xf>
    <xf numFmtId="0" fontId="5" fillId="20" borderId="47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left" vertical="center" wrapText="1"/>
    </xf>
    <xf numFmtId="0" fontId="5" fillId="20" borderId="55" xfId="0" applyFont="1" applyFill="1" applyBorder="1" applyAlignment="1">
      <alignment horizontal="center" vertical="center" wrapText="1"/>
    </xf>
    <xf numFmtId="43" fontId="5" fillId="20" borderId="47" xfId="27" applyFont="1" applyFill="1" applyBorder="1" applyAlignment="1">
      <alignment horizontal="right" vertical="center" wrapText="1"/>
    </xf>
    <xf numFmtId="0" fontId="10" fillId="15" borderId="0" xfId="0" applyFont="1" applyFill="1" applyAlignment="1">
      <alignment horizontal="center" vertical="center" wrapText="1"/>
    </xf>
    <xf numFmtId="0" fontId="11" fillId="15" borderId="0" xfId="0" applyFont="1" applyFill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24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textRotation="90" wrapText="1"/>
    </xf>
    <xf numFmtId="0" fontId="5" fillId="15" borderId="24" xfId="0" applyFont="1" applyFill="1" applyBorder="1" applyAlignment="1">
      <alignment horizontal="center" vertical="center" textRotation="90" wrapText="1"/>
    </xf>
    <xf numFmtId="0" fontId="5" fillId="15" borderId="4" xfId="0" applyFont="1" applyFill="1" applyBorder="1" applyAlignment="1">
      <alignment horizontal="center" vertical="center" textRotation="90" wrapText="1"/>
    </xf>
    <xf numFmtId="4" fontId="5" fillId="15" borderId="3" xfId="0" applyNumberFormat="1" applyFont="1" applyFill="1" applyBorder="1" applyAlignment="1">
      <alignment horizontal="center" vertical="center" textRotation="90" wrapText="1"/>
    </xf>
    <xf numFmtId="4" fontId="5" fillId="15" borderId="24" xfId="0" applyNumberFormat="1" applyFont="1" applyFill="1" applyBorder="1" applyAlignment="1">
      <alignment horizontal="center" vertical="center" textRotation="90" wrapText="1"/>
    </xf>
    <xf numFmtId="4" fontId="5" fillId="15" borderId="4" xfId="0" applyNumberFormat="1" applyFont="1" applyFill="1" applyBorder="1" applyAlignment="1">
      <alignment horizontal="center" vertical="center" textRotation="90" wrapText="1"/>
    </xf>
    <xf numFmtId="0" fontId="5" fillId="15" borderId="11" xfId="0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5" fillId="15" borderId="9" xfId="0" applyFont="1" applyFill="1" applyBorder="1" applyAlignment="1">
      <alignment horizontal="center" vertical="center" wrapText="1"/>
    </xf>
    <xf numFmtId="43" fontId="5" fillId="15" borderId="3" xfId="27" applyNumberFormat="1" applyFont="1" applyFill="1" applyBorder="1" applyAlignment="1">
      <alignment horizontal="center" vertical="center" textRotation="90" wrapText="1"/>
    </xf>
    <xf numFmtId="43" fontId="5" fillId="15" borderId="4" xfId="27" applyNumberFormat="1" applyFont="1" applyFill="1" applyBorder="1" applyAlignment="1">
      <alignment horizontal="center" vertical="center" textRotation="90" wrapText="1"/>
    </xf>
    <xf numFmtId="0" fontId="7" fillId="15" borderId="0" xfId="0" applyFont="1" applyFill="1" applyAlignment="1">
      <alignment horizontal="left" vertical="top" wrapText="1"/>
    </xf>
    <xf numFmtId="0" fontId="7" fillId="15" borderId="0" xfId="0" applyFont="1" applyFill="1" applyAlignment="1">
      <alignment horizontal="left" wrapText="1"/>
    </xf>
    <xf numFmtId="0" fontId="4" fillId="15" borderId="0" xfId="0" applyFont="1" applyFill="1" applyAlignment="1">
      <alignment horizontal="right" vertical="top" wrapText="1"/>
    </xf>
    <xf numFmtId="0" fontId="6" fillId="15" borderId="11" xfId="0" applyFont="1" applyFill="1" applyBorder="1" applyAlignment="1">
      <alignment horizontal="left" vertical="center" wrapText="1"/>
    </xf>
    <xf numFmtId="0" fontId="6" fillId="15" borderId="23" xfId="0" applyFont="1" applyFill="1" applyBorder="1" applyAlignment="1">
      <alignment horizontal="left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6" fillId="15" borderId="22" xfId="0" applyFont="1" applyFill="1" applyBorder="1" applyAlignment="1">
      <alignment horizontal="center" vertical="center" wrapText="1"/>
    </xf>
    <xf numFmtId="0" fontId="6" fillId="15" borderId="23" xfId="0" applyFont="1" applyFill="1" applyBorder="1" applyAlignment="1">
      <alignment horizontal="center" vertical="center" wrapText="1"/>
    </xf>
    <xf numFmtId="0" fontId="6" fillId="15" borderId="9" xfId="0" applyFont="1" applyFill="1" applyBorder="1" applyAlignment="1">
      <alignment horizontal="left" vertical="center" wrapText="1"/>
    </xf>
    <xf numFmtId="0" fontId="6" fillId="15" borderId="19" xfId="0" applyFont="1" applyFill="1" applyBorder="1" applyAlignment="1">
      <alignment horizontal="center" vertical="center" wrapText="1"/>
    </xf>
    <xf numFmtId="0" fontId="6" fillId="15" borderId="9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horizontal="center" vertical="center" wrapText="1"/>
    </xf>
    <xf numFmtId="0" fontId="6" fillId="15" borderId="12" xfId="0" applyFont="1" applyFill="1" applyBorder="1" applyAlignment="1">
      <alignment horizontal="center" vertical="center" wrapText="1"/>
    </xf>
    <xf numFmtId="0" fontId="6" fillId="15" borderId="13" xfId="0" applyFont="1" applyFill="1" applyBorder="1" applyAlignment="1">
      <alignment horizontal="center" vertical="center" wrapText="1"/>
    </xf>
    <xf numFmtId="0" fontId="6" fillId="15" borderId="20" xfId="0" applyFont="1" applyFill="1" applyBorder="1" applyAlignment="1">
      <alignment horizontal="center" vertical="center" wrapText="1"/>
    </xf>
    <xf numFmtId="0" fontId="6" fillId="15" borderId="15" xfId="0" applyFont="1" applyFill="1" applyBorder="1" applyAlignment="1">
      <alignment horizontal="center" vertical="center" wrapText="1"/>
    </xf>
    <xf numFmtId="0" fontId="6" fillId="15" borderId="21" xfId="0" applyFont="1" applyFill="1" applyBorder="1" applyAlignment="1">
      <alignment horizontal="center" vertical="center" wrapText="1"/>
    </xf>
    <xf numFmtId="0" fontId="6" fillId="15" borderId="17" xfId="0" applyFont="1" applyFill="1" applyBorder="1" applyAlignment="1">
      <alignment horizontal="center" vertical="center" wrapText="1"/>
    </xf>
    <xf numFmtId="0" fontId="6" fillId="15" borderId="18" xfId="0" applyFont="1" applyFill="1" applyBorder="1" applyAlignment="1">
      <alignment horizontal="center" vertical="center" wrapText="1"/>
    </xf>
    <xf numFmtId="0" fontId="6" fillId="15" borderId="4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15" borderId="17" xfId="0" applyFont="1" applyFill="1" applyBorder="1" applyAlignment="1">
      <alignment horizontal="left" vertical="center" wrapText="1"/>
    </xf>
    <xf numFmtId="0" fontId="6" fillId="15" borderId="18" xfId="0" applyFont="1" applyFill="1" applyBorder="1" applyAlignment="1">
      <alignment horizontal="left" vertical="center" wrapText="1"/>
    </xf>
    <xf numFmtId="0" fontId="5" fillId="15" borderId="0" xfId="0" applyNumberFormat="1" applyFont="1" applyFill="1" applyBorder="1" applyAlignment="1">
      <alignment horizontal="left" vertical="center" wrapText="1"/>
    </xf>
    <xf numFmtId="0" fontId="5" fillId="15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15" borderId="5" xfId="20" applyFont="1" applyFill="1" applyBorder="1" applyAlignment="1">
      <alignment horizontal="left" vertical="center" wrapText="1"/>
    </xf>
    <xf numFmtId="1" fontId="5" fillId="15" borderId="10" xfId="19" applyNumberFormat="1" applyFont="1" applyFill="1" applyBorder="1" applyAlignment="1">
      <alignment horizontal="center" vertical="center" wrapText="1"/>
    </xf>
    <xf numFmtId="166" fontId="5" fillId="15" borderId="1" xfId="0" applyNumberFormat="1" applyFont="1" applyFill="1" applyBorder="1" applyAlignment="1">
      <alignment horizontal="right" vertical="center"/>
    </xf>
    <xf numFmtId="166" fontId="5" fillId="15" borderId="5" xfId="20" applyNumberFormat="1" applyFont="1" applyFill="1" applyBorder="1" applyAlignment="1">
      <alignment horizontal="right" vertical="center" wrapText="1"/>
    </xf>
    <xf numFmtId="43" fontId="5" fillId="15" borderId="5" xfId="20" applyNumberFormat="1" applyFont="1" applyFill="1" applyBorder="1" applyAlignment="1">
      <alignment horizontal="right" vertical="center" wrapText="1"/>
    </xf>
    <xf numFmtId="4" fontId="5" fillId="15" borderId="1" xfId="0" applyNumberFormat="1" applyFont="1" applyFill="1" applyBorder="1" applyAlignment="1">
      <alignment horizontal="right" vertical="center"/>
    </xf>
    <xf numFmtId="171" fontId="5" fillId="15" borderId="0" xfId="0" applyNumberFormat="1" applyFont="1" applyFill="1">
      <alignment horizontal="left" vertical="center" wrapText="1"/>
    </xf>
  </cellXfs>
  <cellStyles count="31">
    <cellStyle name="Excel Built-in Normal" xfId="1"/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 customBuiltin="1"/>
    <cellStyle name="Обычный 2" xfId="19"/>
    <cellStyle name="Обычный 3" xfId="20"/>
    <cellStyle name="Обычный 4" xfId="30"/>
    <cellStyle name="Обычный_Краткосрочный план 2016" xfId="21"/>
    <cellStyle name="Плохой" xfId="22" builtinId="27" customBuiltin="1"/>
    <cellStyle name="Пояснение" xfId="23" builtinId="53" customBuiltin="1"/>
    <cellStyle name="Примечание" xfId="24" builtinId="10" customBuiltin="1"/>
    <cellStyle name="Связанная ячейка" xfId="25" builtinId="24" customBuiltin="1"/>
    <cellStyle name="Текст предупреждения" xfId="26" builtinId="11" customBuiltin="1"/>
    <cellStyle name="Финансовый" xfId="27" builtinId="3" customBuiltin="1"/>
    <cellStyle name="Финансовый 2" xfId="28"/>
    <cellStyle name="Хороший" xfId="2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2;&#1089;&#1077;%20&#1076;&#1086;&#1082;&#1091;&#1084;&#1077;&#1085;&#1090;&#1099;%20&#1089;&#1086;%20&#1089;&#1090;&#1072;&#1088;&#1086;&#1075;&#1086;%20&#1082;&#1086;&#1084;&#1087;&#1072;\&#1057;%20&#1088;&#1072;&#1073;&#1086;&#1095;&#1077;&#1075;&#1086;%20&#1089;&#1090;&#1086;&#1083;&#1072;\&#1050;&#1040;&#1055;&#1056;&#1045;&#1052;&#1054;&#1053;&#1058;\R01%20-%20&#1056;&#1077;&#1077;&#1089;&#1090;&#1088;%20&#1052;&#1050;&#10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59;&#1041;&#1051;&#1048;&#1056;&#1054;&#1042;&#1040;&#1053;&#1048;&#1045;%20&#1044;&#1054;&#1050;&#1059;&#1052;&#1045;&#1053;&#1058;&#1054;&#1042;%20&#1057;%2006.04.2016/14.01.2016%20%20R01%20(&#1080;&#1079;%20&#1056;&#1055;&#1050;&#105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201">
          <cell r="A201" t="str">
            <v>Засыпные с деревянным каркасом</v>
          </cell>
        </row>
        <row r="202">
          <cell r="A202" t="str">
            <v>Каркасно-сборный ж/б</v>
          </cell>
        </row>
        <row r="203">
          <cell r="A203" t="str">
            <v>Железобетонные с металлическим каркасом</v>
          </cell>
        </row>
        <row r="204">
          <cell r="A204" t="str">
            <v>Железобетонные с монолитным каркасом</v>
          </cell>
        </row>
        <row r="205">
          <cell r="A205" t="str">
            <v>Кирпичные со сборным ж/б каркасом</v>
          </cell>
        </row>
        <row r="206">
          <cell r="A206" t="str">
            <v>Кирпичные с металлическим каркасом</v>
          </cell>
        </row>
        <row r="207">
          <cell r="A207" t="str">
            <v>Кирпичные с монолитным каркасом</v>
          </cell>
        </row>
        <row r="208">
          <cell r="A208" t="str">
            <v>Крупноблочные со сборным ж/б каркасом</v>
          </cell>
        </row>
        <row r="209">
          <cell r="A209" t="str">
            <v>Крупноблочные с металлическим каркасом</v>
          </cell>
        </row>
        <row r="210">
          <cell r="A210" t="str">
            <v>Крупноблочные с монолитным каркасом</v>
          </cell>
        </row>
        <row r="211">
          <cell r="A211" t="str">
            <v>Кирпичные</v>
          </cell>
        </row>
        <row r="212">
          <cell r="A212" t="str">
            <v>Крупноблочные силикат</v>
          </cell>
        </row>
        <row r="213">
          <cell r="A213" t="str">
            <v>Крупноблочные ячеистый бетон</v>
          </cell>
        </row>
        <row r="214">
          <cell r="A214" t="str">
            <v>Крупноблочные пеноблоки</v>
          </cell>
        </row>
        <row r="215">
          <cell r="A215" t="str">
            <v>Крупноблочные газоблоки</v>
          </cell>
        </row>
        <row r="216">
          <cell r="A216" t="str">
            <v>Панельные</v>
          </cell>
        </row>
        <row r="217">
          <cell r="A217" t="str">
            <v>Монолитные</v>
          </cell>
        </row>
        <row r="218">
          <cell r="A218" t="str">
            <v>Каменные</v>
          </cell>
        </row>
        <row r="219">
          <cell r="A219" t="str">
            <v>Бревно (брус)</v>
          </cell>
        </row>
        <row r="220">
          <cell r="A220" t="str">
            <v>Шпалы</v>
          </cell>
        </row>
        <row r="221">
          <cell r="A221" t="str">
            <v>Деревянные щитовые</v>
          </cell>
        </row>
        <row r="222">
          <cell r="A222" t="str">
            <v>Комбинированные</v>
          </cell>
        </row>
        <row r="223">
          <cell r="A223" t="str">
            <v>Многослойные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Реестр"/>
      <sheetName val="Реестр (2)"/>
      <sheetName val="Реестр (3)"/>
    </sheetNames>
    <sheetDataSet>
      <sheetData sheetId="0">
        <row r="3245">
          <cell r="AI3245">
            <v>9</v>
          </cell>
          <cell r="AV3245" t="str">
            <v>панельные</v>
          </cell>
          <cell r="AX3245" t="str">
            <v>плоская</v>
          </cell>
        </row>
        <row r="5773">
          <cell r="AX5773" t="str">
            <v>скатная</v>
          </cell>
        </row>
        <row r="5774">
          <cell r="AX5774" t="str">
            <v>скатная</v>
          </cell>
        </row>
        <row r="5799">
          <cell r="AX5799" t="str">
            <v>плоская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446"/>
  <sheetViews>
    <sheetView tabSelected="1" view="pageBreakPreview" topLeftCell="A10" zoomScale="82" zoomScaleNormal="62" zoomScaleSheetLayoutView="82" zoomScalePageLayoutView="64" workbookViewId="0">
      <pane xSplit="6" ySplit="15" topLeftCell="S25" activePane="bottomRight" state="frozen"/>
      <selection activeCell="A10" sqref="A10"/>
      <selection pane="topRight" activeCell="G10" sqref="G10"/>
      <selection pane="bottomLeft" activeCell="A25" sqref="A25"/>
      <selection pane="bottomRight" activeCell="B21" sqref="B21"/>
    </sheetView>
  </sheetViews>
  <sheetFormatPr defaultRowHeight="12.75"/>
  <cols>
    <col min="1" max="1" width="11.1640625" style="2" customWidth="1"/>
    <col min="2" max="2" width="66.1640625" style="2" customWidth="1"/>
    <col min="3" max="3" width="11.33203125" style="8" customWidth="1"/>
    <col min="4" max="5" width="19.1640625" style="120" customWidth="1"/>
    <col min="6" max="6" width="27.5" style="10" customWidth="1"/>
    <col min="7" max="7" width="23.83203125" style="9" customWidth="1"/>
    <col min="8" max="8" width="23.83203125" style="9" hidden="1" customWidth="1"/>
    <col min="9" max="9" width="22" style="9" customWidth="1"/>
    <col min="10" max="10" width="25.83203125" style="9" customWidth="1"/>
    <col min="11" max="11" width="25.83203125" style="9" hidden="1" customWidth="1"/>
    <col min="12" max="12" width="21.83203125" style="9" customWidth="1"/>
    <col min="13" max="13" width="21.83203125" style="9" hidden="1" customWidth="1"/>
    <col min="14" max="14" width="24" style="9" customWidth="1"/>
    <col min="15" max="15" width="24" style="9" hidden="1" customWidth="1"/>
    <col min="16" max="16" width="19.6640625" style="9" customWidth="1"/>
    <col min="17" max="17" width="19.6640625" style="9" hidden="1" customWidth="1"/>
    <col min="18" max="18" width="21" style="9" customWidth="1"/>
    <col min="19" max="19" width="23.6640625" style="9" customWidth="1"/>
    <col min="20" max="20" width="12.33203125" style="9" customWidth="1"/>
    <col min="21" max="21" width="24.83203125" style="9" customWidth="1"/>
    <col min="22" max="22" width="24.33203125" style="118" customWidth="1"/>
    <col min="23" max="23" width="10.83203125" style="8" customWidth="1"/>
    <col min="24" max="24" width="11.1640625" style="8" customWidth="1"/>
    <col min="25" max="25" width="31.1640625" style="140" hidden="1" customWidth="1"/>
    <col min="26" max="26" width="8.5" style="2" hidden="1" customWidth="1"/>
    <col min="27" max="27" width="11.5" style="2" hidden="1" customWidth="1"/>
    <col min="28" max="28" width="13.5" style="2" hidden="1" customWidth="1"/>
    <col min="29" max="29" width="15.33203125" style="2" customWidth="1"/>
    <col min="30" max="16384" width="9.33203125" style="2"/>
  </cols>
  <sheetData>
    <row r="1" spans="1:25" s="4" customFormat="1" ht="39" customHeight="1">
      <c r="C1" s="5"/>
      <c r="D1" s="123"/>
      <c r="E1" s="123"/>
      <c r="F1" s="7"/>
      <c r="G1" s="6"/>
      <c r="H1" s="6"/>
      <c r="I1" s="6"/>
      <c r="J1" s="6"/>
      <c r="K1" s="6"/>
      <c r="L1" s="6"/>
      <c r="M1" s="6"/>
      <c r="N1" s="6"/>
      <c r="O1" s="6"/>
      <c r="P1" s="349" t="s">
        <v>145</v>
      </c>
      <c r="Q1" s="349"/>
      <c r="R1" s="349"/>
      <c r="S1" s="349"/>
      <c r="T1" s="349"/>
      <c r="U1" s="349"/>
      <c r="V1" s="105"/>
      <c r="W1" s="5"/>
      <c r="X1" s="5"/>
    </row>
    <row r="2" spans="1:25" ht="38.25" customHeight="1">
      <c r="P2" s="349" t="s">
        <v>146</v>
      </c>
      <c r="Q2" s="349"/>
      <c r="R2" s="349"/>
      <c r="S2" s="349"/>
      <c r="T2" s="349"/>
      <c r="U2" s="349"/>
      <c r="V2" s="105"/>
    </row>
    <row r="3" spans="1:25" ht="41.25" customHeight="1">
      <c r="P3" s="349" t="s">
        <v>135</v>
      </c>
      <c r="Q3" s="349"/>
      <c r="R3" s="349"/>
      <c r="S3" s="349"/>
      <c r="T3" s="349"/>
      <c r="U3" s="349"/>
      <c r="V3" s="105"/>
    </row>
    <row r="4" spans="1:25" ht="33" customHeight="1">
      <c r="P4" s="350" t="s">
        <v>136</v>
      </c>
      <c r="Q4" s="350"/>
      <c r="R4" s="350"/>
      <c r="S4" s="350"/>
      <c r="T4" s="350"/>
      <c r="U4" s="350"/>
      <c r="V4" s="350"/>
    </row>
    <row r="5" spans="1:25" ht="19.5" customHeight="1">
      <c r="A5" s="11"/>
      <c r="B5" s="11"/>
      <c r="C5" s="12"/>
      <c r="D5" s="124"/>
      <c r="E5" s="124"/>
      <c r="F5" s="14"/>
      <c r="G5" s="13"/>
      <c r="H5" s="13"/>
      <c r="I5" s="13"/>
      <c r="J5" s="13"/>
      <c r="K5" s="13"/>
      <c r="L5" s="13"/>
      <c r="M5" s="13"/>
      <c r="N5" s="13"/>
      <c r="O5" s="13"/>
      <c r="P5" s="351"/>
      <c r="Q5" s="351"/>
      <c r="R5" s="351"/>
      <c r="S5" s="351"/>
      <c r="T5" s="351"/>
      <c r="U5" s="351"/>
      <c r="V5" s="351"/>
      <c r="W5" s="12"/>
      <c r="X5" s="12"/>
    </row>
    <row r="6" spans="1:25" ht="22.5" customHeight="1">
      <c r="A6" s="333" t="s">
        <v>147</v>
      </c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</row>
    <row r="7" spans="1:25" ht="0.75" hidden="1" customHeight="1">
      <c r="A7" s="98"/>
      <c r="B7" s="98"/>
      <c r="C7" s="98"/>
      <c r="D7" s="125"/>
      <c r="E7" s="125"/>
      <c r="F7" s="93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106"/>
      <c r="W7" s="98"/>
      <c r="X7" s="98"/>
    </row>
    <row r="8" spans="1:25" ht="28.5" customHeight="1">
      <c r="A8" s="334" t="s">
        <v>37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</row>
    <row r="9" spans="1:25" ht="10.5" customHeight="1">
      <c r="A9" s="15"/>
      <c r="B9" s="15"/>
      <c r="C9" s="15"/>
      <c r="D9" s="126"/>
      <c r="E9" s="126"/>
      <c r="F9" s="1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07"/>
      <c r="W9" s="15"/>
      <c r="X9" s="15"/>
    </row>
    <row r="10" spans="1:25" ht="18.75" customHeight="1">
      <c r="A10" s="335" t="s">
        <v>0</v>
      </c>
      <c r="B10" s="335" t="s">
        <v>1</v>
      </c>
      <c r="C10" s="338" t="s">
        <v>2</v>
      </c>
      <c r="D10" s="341" t="s">
        <v>3</v>
      </c>
      <c r="E10" s="341" t="s">
        <v>120</v>
      </c>
      <c r="F10" s="344" t="s">
        <v>38</v>
      </c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6"/>
      <c r="W10" s="338" t="s">
        <v>40</v>
      </c>
      <c r="X10" s="338" t="s">
        <v>41</v>
      </c>
    </row>
    <row r="11" spans="1:25" ht="16.5" customHeight="1">
      <c r="A11" s="336"/>
      <c r="B11" s="336"/>
      <c r="C11" s="339"/>
      <c r="D11" s="342"/>
      <c r="E11" s="342"/>
      <c r="F11" s="347" t="s">
        <v>4</v>
      </c>
      <c r="G11" s="338" t="s">
        <v>5</v>
      </c>
      <c r="H11" s="95"/>
      <c r="I11" s="338" t="s">
        <v>6</v>
      </c>
      <c r="J11" s="338" t="s">
        <v>7</v>
      </c>
      <c r="K11" s="95"/>
      <c r="L11" s="338" t="s">
        <v>8</v>
      </c>
      <c r="M11" s="95"/>
      <c r="N11" s="338" t="s">
        <v>9</v>
      </c>
      <c r="O11" s="95"/>
      <c r="P11" s="338" t="s">
        <v>10</v>
      </c>
      <c r="Q11" s="95"/>
      <c r="R11" s="338" t="s">
        <v>39</v>
      </c>
      <c r="S11" s="344" t="s">
        <v>11</v>
      </c>
      <c r="T11" s="345"/>
      <c r="U11" s="345"/>
      <c r="V11" s="346"/>
      <c r="W11" s="339"/>
      <c r="X11" s="339"/>
    </row>
    <row r="12" spans="1:25" ht="93.75" customHeight="1">
      <c r="A12" s="336"/>
      <c r="B12" s="336"/>
      <c r="C12" s="339"/>
      <c r="D12" s="343"/>
      <c r="E12" s="343"/>
      <c r="F12" s="348"/>
      <c r="G12" s="340"/>
      <c r="H12" s="96"/>
      <c r="I12" s="340"/>
      <c r="J12" s="340"/>
      <c r="K12" s="96"/>
      <c r="L12" s="340"/>
      <c r="M12" s="96"/>
      <c r="N12" s="340"/>
      <c r="O12" s="96"/>
      <c r="P12" s="340"/>
      <c r="Q12" s="96"/>
      <c r="R12" s="340"/>
      <c r="S12" s="18" t="s">
        <v>23</v>
      </c>
      <c r="T12" s="18" t="s">
        <v>35</v>
      </c>
      <c r="U12" s="18" t="s">
        <v>12</v>
      </c>
      <c r="V12" s="108" t="s">
        <v>34</v>
      </c>
      <c r="W12" s="339"/>
      <c r="X12" s="339"/>
    </row>
    <row r="13" spans="1:25" ht="15.75">
      <c r="A13" s="337"/>
      <c r="B13" s="337"/>
      <c r="C13" s="340"/>
      <c r="D13" s="127" t="s">
        <v>13</v>
      </c>
      <c r="E13" s="127" t="s">
        <v>13</v>
      </c>
      <c r="F13" s="19" t="s">
        <v>14</v>
      </c>
      <c r="G13" s="51" t="s">
        <v>14</v>
      </c>
      <c r="H13" s="51"/>
      <c r="I13" s="51" t="s">
        <v>14</v>
      </c>
      <c r="J13" s="51" t="s">
        <v>14</v>
      </c>
      <c r="K13" s="51"/>
      <c r="L13" s="51" t="s">
        <v>14</v>
      </c>
      <c r="M13" s="51"/>
      <c r="N13" s="51" t="s">
        <v>14</v>
      </c>
      <c r="O13" s="51"/>
      <c r="P13" s="51" t="s">
        <v>14</v>
      </c>
      <c r="Q13" s="51"/>
      <c r="R13" s="51" t="s">
        <v>14</v>
      </c>
      <c r="S13" s="51" t="s">
        <v>14</v>
      </c>
      <c r="T13" s="51" t="s">
        <v>14</v>
      </c>
      <c r="U13" s="51" t="s">
        <v>14</v>
      </c>
      <c r="V13" s="109" t="s">
        <v>14</v>
      </c>
      <c r="W13" s="340"/>
      <c r="X13" s="340"/>
    </row>
    <row r="14" spans="1:25" ht="15.75">
      <c r="A14" s="51" t="s">
        <v>15</v>
      </c>
      <c r="B14" s="51" t="s">
        <v>16</v>
      </c>
      <c r="C14" s="51" t="s">
        <v>17</v>
      </c>
      <c r="D14" s="273">
        <v>4</v>
      </c>
      <c r="E14" s="273">
        <v>5</v>
      </c>
      <c r="F14" s="51">
        <v>6</v>
      </c>
      <c r="G14" s="51">
        <v>7</v>
      </c>
      <c r="H14" s="51"/>
      <c r="I14" s="51">
        <v>8</v>
      </c>
      <c r="J14" s="51">
        <v>9</v>
      </c>
      <c r="K14" s="51"/>
      <c r="L14" s="51">
        <v>10</v>
      </c>
      <c r="M14" s="51"/>
      <c r="N14" s="51">
        <v>11</v>
      </c>
      <c r="O14" s="51"/>
      <c r="P14" s="51">
        <v>12</v>
      </c>
      <c r="Q14" s="51"/>
      <c r="R14" s="51">
        <v>13</v>
      </c>
      <c r="S14" s="51">
        <v>14</v>
      </c>
      <c r="T14" s="51">
        <v>15</v>
      </c>
      <c r="U14" s="20">
        <v>16</v>
      </c>
      <c r="V14" s="121">
        <v>17</v>
      </c>
      <c r="W14" s="20">
        <v>18</v>
      </c>
      <c r="X14" s="20">
        <v>19</v>
      </c>
    </row>
    <row r="15" spans="1:25" ht="18" customHeight="1">
      <c r="A15" s="352" t="s">
        <v>279</v>
      </c>
      <c r="B15" s="358"/>
      <c r="C15" s="21"/>
      <c r="D15" s="110">
        <f>D28+D41+D49+D64+D194+D204+D218+D258+D262+D266+D271+D299+D304+D312+D322+D327+D331+D341+D345+D353+D360+D363+D366+D372+D377+D399+D419+D426</f>
        <v>1210807.1100000001</v>
      </c>
      <c r="E15" s="110">
        <f>E28+E41+E49+E64+E194+E204+E218+E258+E262+E266+E271+E299+E304+E312+E322+E327+E331+E341+E345+E353+E360+E363+E366+E372+E377+E399+E419+E426</f>
        <v>1054356.04</v>
      </c>
      <c r="F15" s="110">
        <f>F28+F41+F49+F64+F194+F204+F218+F258+F262+F266+F271+F299+F304+F312+F322+F327+F331+F341+F345+F353+F360+F363+F366+F372+F377+F399+F419+F426</f>
        <v>967588393.96700025</v>
      </c>
      <c r="G15" s="110">
        <f>G28+G41+G49+G64+G194+G204+G218+G258+G262+G266+G271+G299+G304+G312+G322+G327+G331+G341+G345+G353+G360+G363+G366+G372+G377+G399+G419+G426</f>
        <v>283452086.68000001</v>
      </c>
      <c r="H15" s="110"/>
      <c r="I15" s="110">
        <f>I28+I41+I49+I64+I194+I204+I218+I258+I262+I266+I271+I299+I304+I312+I322+I327+I331+I341+I345+I353+I360+I363+I366+I372+I377+I399+I419+I426</f>
        <v>211224714.85999998</v>
      </c>
      <c r="J15" s="110">
        <f>J28+J41+J49+J64+J194+J204+J218+J258+J262+J266+J271+J299+J304+J312+J322+J327+J331+J341+J345+J353+J360+J363+J366+J372+J377+J399+J419+J426</f>
        <v>352699073.01999998</v>
      </c>
      <c r="K15" s="110"/>
      <c r="L15" s="110">
        <f>L28+L41+L49+L64+L194+L204+L218+L258+L262+L266+L271+L299+L304+L312+L322+L327+L331+L341+L345+L353+L360+L363+L366+L372+L377+L399+L419+L426</f>
        <v>208527.92</v>
      </c>
      <c r="M15" s="110"/>
      <c r="N15" s="110">
        <f>N28+N41+N49+N64+N194+N204+N218+N258+N262+N266+N271+N299+N304+N312+N322+N327+N331+N341+N345+N353+N360+N363+N366+N372+N377+N399+N419+N426</f>
        <v>115995779.54700002</v>
      </c>
      <c r="O15" s="110"/>
      <c r="P15" s="110">
        <f>P28+P41+P49+P64+P194+P204+P218+P258+P262+P266+P271+P299+P304+P312+P322+P327+P331+P341+P345+P353+P360+P363+P366+P372+P377+P399+P419+P426</f>
        <v>2011100</v>
      </c>
      <c r="Q15" s="110"/>
      <c r="R15" s="110">
        <f>R28+R41+R49+R64+R194+R204+R218+R258+R262+R266+R271+R299+R304+R312+R322+R327+R331+R341+R345+R353+R360+R363+R366+R372+R377+R399+R419+R426</f>
        <v>1997111.94</v>
      </c>
      <c r="S15" s="28">
        <f>S28+S41+S49+S64+S194+S204+S218+S258+S262+S266+S271+S299+S304+S312+S322+S327+S331+S341+S345+S353+S360+S363+S366+S372+S377+S399+S419+S426</f>
        <v>0</v>
      </c>
      <c r="T15" s="28">
        <f>T28+T41+T49+T64+T194+T204+T218+T258+T262+T266+T271+T299+T304+T312+T322+T327+T331+T341+T345+T353+T360+T363+T366+T372+T377+T399+T419+T426</f>
        <v>0</v>
      </c>
      <c r="U15" s="28">
        <f>U28+U41+U49+U64+U194+U204+U218+U258+U262+U266+U271+U299+U304+U312+U322+U327+U331+U341+U345+U353+U360+U363+U366+U372+U377+U399+U419+U426</f>
        <v>0</v>
      </c>
      <c r="V15" s="110">
        <f>V28+V41+V49+V64+V194+V204+V218+V258+V262+V266+V271+V299+V304+V312+V322+V327+V331+V341+V345+V353+V360+V363+V366+V372+V377+V399+V419+V426</f>
        <v>967588393.96700025</v>
      </c>
      <c r="W15" s="22" t="s">
        <v>117</v>
      </c>
      <c r="X15" s="22" t="s">
        <v>117</v>
      </c>
      <c r="Y15" s="272">
        <f>V15+U15</f>
        <v>967588393.96700025</v>
      </c>
    </row>
    <row r="16" spans="1:25" ht="18" customHeight="1">
      <c r="A16" s="354" t="s">
        <v>42</v>
      </c>
      <c r="B16" s="359"/>
      <c r="C16" s="359"/>
      <c r="D16" s="359"/>
      <c r="E16" s="359"/>
      <c r="F16" s="355"/>
      <c r="G16" s="355"/>
      <c r="H16" s="355"/>
      <c r="I16" s="355"/>
      <c r="J16" s="355"/>
      <c r="K16" s="355"/>
      <c r="L16" s="355"/>
      <c r="M16" s="355"/>
      <c r="N16" s="355"/>
      <c r="O16" s="355"/>
      <c r="P16" s="355"/>
      <c r="Q16" s="355"/>
      <c r="R16" s="355"/>
      <c r="S16" s="355"/>
      <c r="T16" s="355"/>
      <c r="U16" s="355"/>
      <c r="V16" s="360"/>
      <c r="W16" s="1"/>
      <c r="X16" s="1"/>
    </row>
    <row r="17" spans="1:28" s="24" customFormat="1" ht="18" customHeight="1">
      <c r="A17" s="274">
        <v>1</v>
      </c>
      <c r="B17" s="178" t="s">
        <v>148</v>
      </c>
      <c r="C17" s="130">
        <v>1963</v>
      </c>
      <c r="D17" s="35">
        <v>2754.3</v>
      </c>
      <c r="E17" s="35">
        <v>2547.1</v>
      </c>
      <c r="F17" s="61">
        <f t="shared" ref="F17:F27" si="0">G17+I17+J17+L17+N17+P17+R17</f>
        <v>4200651.8600000003</v>
      </c>
      <c r="G17" s="53">
        <f t="shared" ref="G17:G24" si="1">ROUND(493.96*E17,2)</f>
        <v>1258165.52</v>
      </c>
      <c r="H17" s="53">
        <f t="shared" ref="H17:H27" si="2">G17/E17</f>
        <v>493.96000157041345</v>
      </c>
      <c r="I17" s="53">
        <v>0</v>
      </c>
      <c r="J17" s="53">
        <f>ROUND(928.66*E17,2)</f>
        <v>2365389.89</v>
      </c>
      <c r="K17" s="53">
        <f>J17/E17</f>
        <v>928.66000157041344</v>
      </c>
      <c r="L17" s="53">
        <v>0</v>
      </c>
      <c r="M17" s="53">
        <f>L17/E17</f>
        <v>0</v>
      </c>
      <c r="N17" s="53">
        <f>ROUND(226.57*E17,2)</f>
        <v>577096.44999999995</v>
      </c>
      <c r="O17" s="53">
        <f>N17/E17</f>
        <v>226.57000117781004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111">
        <f t="shared" ref="V17:V27" si="3">F17</f>
        <v>4200651.8600000003</v>
      </c>
      <c r="W17" s="71">
        <v>2017</v>
      </c>
      <c r="X17" s="71">
        <v>2017</v>
      </c>
      <c r="Y17" s="72" t="s">
        <v>154</v>
      </c>
      <c r="Z17" s="71">
        <v>5</v>
      </c>
      <c r="AA17" s="72" t="s">
        <v>169</v>
      </c>
      <c r="AB17" s="72" t="s">
        <v>216</v>
      </c>
    </row>
    <row r="18" spans="1:28" s="24" customFormat="1" ht="18" customHeight="1">
      <c r="A18" s="274">
        <f t="shared" ref="A18:A27" si="4">A17+1</f>
        <v>2</v>
      </c>
      <c r="B18" s="178" t="s">
        <v>149</v>
      </c>
      <c r="C18" s="130">
        <v>1963</v>
      </c>
      <c r="D18" s="35">
        <v>3419.8</v>
      </c>
      <c r="E18" s="35">
        <v>3180.4</v>
      </c>
      <c r="F18" s="61">
        <f t="shared" si="0"/>
        <v>7285024.2400000002</v>
      </c>
      <c r="G18" s="53">
        <f t="shared" si="1"/>
        <v>1570990.38</v>
      </c>
      <c r="H18" s="53">
        <f t="shared" si="2"/>
        <v>493.95999874229653</v>
      </c>
      <c r="I18" s="53">
        <v>0</v>
      </c>
      <c r="J18" s="53">
        <f>ROUND(914.54*E18,2)</f>
        <v>2908603.02</v>
      </c>
      <c r="K18" s="53">
        <f t="shared" ref="K18:K27" si="5">J18/E18</f>
        <v>914.54000125770347</v>
      </c>
      <c r="L18" s="53">
        <v>0</v>
      </c>
      <c r="M18" s="53">
        <f t="shared" ref="M18:M27" si="6">L18/E18</f>
        <v>0</v>
      </c>
      <c r="N18" s="53">
        <f>ROUND(882.1*E18,2)</f>
        <v>2805430.84</v>
      </c>
      <c r="O18" s="53">
        <f t="shared" ref="O18:O27" si="7">N18/E18</f>
        <v>882.09999999999991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111">
        <f t="shared" si="3"/>
        <v>7285024.2400000002</v>
      </c>
      <c r="W18" s="71">
        <v>2017</v>
      </c>
      <c r="X18" s="71">
        <v>2017</v>
      </c>
      <c r="Y18" s="72" t="s">
        <v>155</v>
      </c>
      <c r="Z18" s="71">
        <v>5</v>
      </c>
      <c r="AA18" s="72" t="s">
        <v>169</v>
      </c>
      <c r="AB18" s="72" t="s">
        <v>216</v>
      </c>
    </row>
    <row r="19" spans="1:28" s="24" customFormat="1" ht="18" customHeight="1">
      <c r="A19" s="274">
        <f t="shared" si="4"/>
        <v>3</v>
      </c>
      <c r="B19" s="178" t="s">
        <v>150</v>
      </c>
      <c r="C19" s="130">
        <v>1963</v>
      </c>
      <c r="D19" s="35">
        <v>3511.5</v>
      </c>
      <c r="E19" s="35">
        <v>3271.6</v>
      </c>
      <c r="F19" s="61">
        <f t="shared" si="0"/>
        <v>4608048.5999999996</v>
      </c>
      <c r="G19" s="53">
        <f t="shared" si="1"/>
        <v>1616039.54</v>
      </c>
      <c r="H19" s="53">
        <f t="shared" si="2"/>
        <v>493.96000122264337</v>
      </c>
      <c r="I19" s="53">
        <v>0</v>
      </c>
      <c r="J19" s="53">
        <f>ROUND(914.54*E19,2)</f>
        <v>2992009.06</v>
      </c>
      <c r="K19" s="53">
        <f t="shared" si="5"/>
        <v>914.53999877735669</v>
      </c>
      <c r="L19" s="53">
        <v>0</v>
      </c>
      <c r="M19" s="53">
        <f t="shared" si="6"/>
        <v>0</v>
      </c>
      <c r="N19" s="53">
        <v>0</v>
      </c>
      <c r="O19" s="53">
        <f t="shared" si="7"/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111">
        <f t="shared" si="3"/>
        <v>4608048.5999999996</v>
      </c>
      <c r="W19" s="71">
        <v>2017</v>
      </c>
      <c r="X19" s="71">
        <v>2017</v>
      </c>
      <c r="Y19" s="72" t="s">
        <v>155</v>
      </c>
      <c r="Z19" s="71">
        <v>5</v>
      </c>
      <c r="AA19" s="72" t="s">
        <v>169</v>
      </c>
      <c r="AB19" s="72" t="s">
        <v>216</v>
      </c>
    </row>
    <row r="20" spans="1:28" s="24" customFormat="1" ht="18" customHeight="1">
      <c r="A20" s="274">
        <f t="shared" si="4"/>
        <v>4</v>
      </c>
      <c r="B20" s="178" t="s">
        <v>151</v>
      </c>
      <c r="C20" s="130">
        <v>1963</v>
      </c>
      <c r="D20" s="35">
        <v>2377.5</v>
      </c>
      <c r="E20" s="35">
        <v>2211.5</v>
      </c>
      <c r="F20" s="61">
        <f t="shared" si="0"/>
        <v>6570963.6099999994</v>
      </c>
      <c r="G20" s="53">
        <f t="shared" si="1"/>
        <v>1092392.54</v>
      </c>
      <c r="H20" s="53">
        <f t="shared" si="2"/>
        <v>493.96000000000004</v>
      </c>
      <c r="I20" s="53">
        <v>0</v>
      </c>
      <c r="J20" s="53">
        <f>ROUND(1595.21*E20,2)</f>
        <v>3527806.92</v>
      </c>
      <c r="K20" s="53">
        <f t="shared" si="5"/>
        <v>1595.2100022609088</v>
      </c>
      <c r="L20" s="53">
        <v>0</v>
      </c>
      <c r="M20" s="53">
        <f t="shared" si="6"/>
        <v>0</v>
      </c>
      <c r="N20" s="53">
        <f>ROUND(882.1*E20,2)</f>
        <v>1950764.15</v>
      </c>
      <c r="O20" s="53">
        <f t="shared" si="7"/>
        <v>882.09999999999991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111">
        <f t="shared" si="3"/>
        <v>6570963.6099999994</v>
      </c>
      <c r="W20" s="71">
        <v>2017</v>
      </c>
      <c r="X20" s="71">
        <v>2017</v>
      </c>
      <c r="Y20" s="72" t="s">
        <v>155</v>
      </c>
      <c r="Z20" s="71">
        <v>4</v>
      </c>
      <c r="AA20" s="72" t="s">
        <v>170</v>
      </c>
      <c r="AB20" s="72" t="s">
        <v>216</v>
      </c>
    </row>
    <row r="21" spans="1:28" s="24" customFormat="1" ht="18" customHeight="1">
      <c r="A21" s="274">
        <f t="shared" si="4"/>
        <v>5</v>
      </c>
      <c r="B21" s="178" t="s">
        <v>152</v>
      </c>
      <c r="C21" s="130">
        <v>1961</v>
      </c>
      <c r="D21" s="35">
        <v>2120.4</v>
      </c>
      <c r="E21" s="35">
        <v>1978.8</v>
      </c>
      <c r="F21" s="61">
        <f t="shared" si="0"/>
        <v>5879549.0800000001</v>
      </c>
      <c r="G21" s="53">
        <f t="shared" si="1"/>
        <v>977448.05</v>
      </c>
      <c r="H21" s="53">
        <f t="shared" si="2"/>
        <v>493.9600010107136</v>
      </c>
      <c r="I21" s="53">
        <v>0</v>
      </c>
      <c r="J21" s="53">
        <f>ROUND(1595.21*E21,2)</f>
        <v>3156601.55</v>
      </c>
      <c r="K21" s="53">
        <f t="shared" si="5"/>
        <v>1595.2100010107135</v>
      </c>
      <c r="L21" s="53">
        <v>0</v>
      </c>
      <c r="M21" s="53">
        <f t="shared" si="6"/>
        <v>0</v>
      </c>
      <c r="N21" s="53">
        <f>ROUND(882.1*E21,2)</f>
        <v>1745499.48</v>
      </c>
      <c r="O21" s="53">
        <f t="shared" si="7"/>
        <v>882.1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111">
        <f t="shared" si="3"/>
        <v>5879549.0800000001</v>
      </c>
      <c r="W21" s="71">
        <v>2017</v>
      </c>
      <c r="X21" s="71">
        <v>2017</v>
      </c>
      <c r="Y21" s="72" t="s">
        <v>155</v>
      </c>
      <c r="Z21" s="71">
        <v>4</v>
      </c>
      <c r="AA21" s="72" t="s">
        <v>170</v>
      </c>
      <c r="AB21" s="72" t="s">
        <v>216</v>
      </c>
    </row>
    <row r="22" spans="1:28" s="24" customFormat="1" ht="18" customHeight="1">
      <c r="A22" s="274">
        <f t="shared" si="4"/>
        <v>6</v>
      </c>
      <c r="B22" s="178" t="s">
        <v>211</v>
      </c>
      <c r="C22" s="130">
        <v>1970</v>
      </c>
      <c r="D22" s="35">
        <v>6283.7</v>
      </c>
      <c r="E22" s="35">
        <v>5717.8</v>
      </c>
      <c r="F22" s="61">
        <f>G22+I22+J22+L22+N22+P22+R22</f>
        <v>9429738.5899999999</v>
      </c>
      <c r="G22" s="53">
        <f t="shared" si="1"/>
        <v>2824364.49</v>
      </c>
      <c r="H22" s="53">
        <f t="shared" si="2"/>
        <v>493.96000034978488</v>
      </c>
      <c r="I22" s="53">
        <v>0</v>
      </c>
      <c r="J22" s="53">
        <f>ROUND(928.66*E22,2)</f>
        <v>5309892.1500000004</v>
      </c>
      <c r="K22" s="53">
        <f t="shared" si="5"/>
        <v>928.66000034978492</v>
      </c>
      <c r="L22" s="53">
        <v>0</v>
      </c>
      <c r="M22" s="53">
        <f t="shared" si="6"/>
        <v>0</v>
      </c>
      <c r="N22" s="53">
        <f>ROUND(226.57*E22,2)</f>
        <v>1295481.95</v>
      </c>
      <c r="O22" s="53">
        <f t="shared" si="7"/>
        <v>226.57000069956976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111">
        <f>F22</f>
        <v>9429738.5899999999</v>
      </c>
      <c r="W22" s="71">
        <v>2017</v>
      </c>
      <c r="X22" s="71">
        <v>2017</v>
      </c>
      <c r="Y22" s="72" t="s">
        <v>154</v>
      </c>
      <c r="Z22" s="71">
        <v>5</v>
      </c>
      <c r="AA22" s="72" t="s">
        <v>169</v>
      </c>
      <c r="AB22" s="72" t="s">
        <v>216</v>
      </c>
    </row>
    <row r="23" spans="1:28" s="24" customFormat="1" ht="18" customHeight="1">
      <c r="A23" s="274">
        <f t="shared" si="4"/>
        <v>7</v>
      </c>
      <c r="B23" s="178" t="s">
        <v>212</v>
      </c>
      <c r="C23" s="130">
        <v>1969</v>
      </c>
      <c r="D23" s="35">
        <v>4740.3999999999996</v>
      </c>
      <c r="E23" s="35">
        <v>4336</v>
      </c>
      <c r="F23" s="61">
        <f t="shared" si="0"/>
        <v>7150887.8399999999</v>
      </c>
      <c r="G23" s="53">
        <f t="shared" si="1"/>
        <v>2141810.56</v>
      </c>
      <c r="H23" s="53">
        <f t="shared" si="2"/>
        <v>493.96000000000004</v>
      </c>
      <c r="I23" s="53">
        <v>0</v>
      </c>
      <c r="J23" s="53">
        <f>ROUND(928.66*E23,2)</f>
        <v>4026669.76</v>
      </c>
      <c r="K23" s="53">
        <f t="shared" si="5"/>
        <v>928.66</v>
      </c>
      <c r="L23" s="53">
        <v>0</v>
      </c>
      <c r="M23" s="53">
        <f t="shared" si="6"/>
        <v>0</v>
      </c>
      <c r="N23" s="53">
        <f>ROUND(226.57*E23,2)</f>
        <v>982407.52</v>
      </c>
      <c r="O23" s="53">
        <f t="shared" si="7"/>
        <v>226.57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111">
        <f t="shared" si="3"/>
        <v>7150887.8399999999</v>
      </c>
      <c r="W23" s="71">
        <v>2017</v>
      </c>
      <c r="X23" s="71">
        <v>2017</v>
      </c>
      <c r="Y23" s="72" t="s">
        <v>154</v>
      </c>
      <c r="Z23" s="71">
        <v>5</v>
      </c>
      <c r="AA23" s="72" t="s">
        <v>169</v>
      </c>
      <c r="AB23" s="72" t="s">
        <v>216</v>
      </c>
    </row>
    <row r="24" spans="1:28" s="24" customFormat="1" ht="18" customHeight="1">
      <c r="A24" s="274">
        <f t="shared" si="4"/>
        <v>8</v>
      </c>
      <c r="B24" s="178" t="s">
        <v>153</v>
      </c>
      <c r="C24" s="130">
        <v>1962</v>
      </c>
      <c r="D24" s="35">
        <v>3331.6</v>
      </c>
      <c r="E24" s="35">
        <v>3066.2</v>
      </c>
      <c r="F24" s="61">
        <f t="shared" si="0"/>
        <v>7023437.7199999988</v>
      </c>
      <c r="G24" s="53">
        <f t="shared" si="1"/>
        <v>1514580.15</v>
      </c>
      <c r="H24" s="53">
        <f t="shared" si="2"/>
        <v>493.95999934772681</v>
      </c>
      <c r="I24" s="53">
        <v>0</v>
      </c>
      <c r="J24" s="53">
        <f>ROUND(914.54*E24,2)</f>
        <v>2804162.55</v>
      </c>
      <c r="K24" s="53">
        <f t="shared" si="5"/>
        <v>914.54000065227319</v>
      </c>
      <c r="L24" s="53">
        <v>0</v>
      </c>
      <c r="M24" s="53">
        <f t="shared" si="6"/>
        <v>0</v>
      </c>
      <c r="N24" s="53">
        <f>ROUND(882.1*E24,2)</f>
        <v>2704695.02</v>
      </c>
      <c r="O24" s="53">
        <f t="shared" si="7"/>
        <v>882.1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111">
        <f t="shared" si="3"/>
        <v>7023437.7199999988</v>
      </c>
      <c r="W24" s="71">
        <v>2017</v>
      </c>
      <c r="X24" s="71">
        <v>2017</v>
      </c>
      <c r="Y24" s="72" t="s">
        <v>155</v>
      </c>
      <c r="Z24" s="71">
        <v>5</v>
      </c>
      <c r="AA24" s="72" t="s">
        <v>169</v>
      </c>
      <c r="AB24" s="72" t="s">
        <v>216</v>
      </c>
    </row>
    <row r="25" spans="1:28" s="24" customFormat="1" ht="18" customHeight="1">
      <c r="A25" s="274">
        <f t="shared" si="4"/>
        <v>9</v>
      </c>
      <c r="B25" s="178" t="s">
        <v>213</v>
      </c>
      <c r="C25" s="130">
        <v>1989</v>
      </c>
      <c r="D25" s="64">
        <v>4434.2299999999996</v>
      </c>
      <c r="E25" s="35">
        <v>3707.3</v>
      </c>
      <c r="F25" s="61">
        <f t="shared" si="0"/>
        <v>9313529.25</v>
      </c>
      <c r="G25" s="53">
        <f>ROUND(818.06*E25,2)</f>
        <v>3032793.84</v>
      </c>
      <c r="H25" s="53">
        <f t="shared" si="2"/>
        <v>818.06000053947605</v>
      </c>
      <c r="I25" s="53">
        <v>4021580.94</v>
      </c>
      <c r="J25" s="53">
        <f>ROUND(609.38*E25,2)</f>
        <v>2259154.4700000002</v>
      </c>
      <c r="K25" s="53">
        <f t="shared" si="5"/>
        <v>609.37999892104767</v>
      </c>
      <c r="L25" s="53">
        <v>0</v>
      </c>
      <c r="M25" s="53"/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111">
        <f>F25</f>
        <v>9313529.25</v>
      </c>
      <c r="W25" s="71">
        <v>2017</v>
      </c>
      <c r="X25" s="71">
        <v>2017</v>
      </c>
      <c r="Y25" s="72" t="s">
        <v>154</v>
      </c>
      <c r="Z25" s="71">
        <v>9</v>
      </c>
      <c r="AA25" s="72" t="s">
        <v>169</v>
      </c>
      <c r="AB25" s="72" t="s">
        <v>217</v>
      </c>
    </row>
    <row r="26" spans="1:28" s="24" customFormat="1" ht="18" customHeight="1">
      <c r="A26" s="274">
        <f t="shared" si="4"/>
        <v>10</v>
      </c>
      <c r="B26" s="178" t="s">
        <v>214</v>
      </c>
      <c r="C26" s="130">
        <v>1991</v>
      </c>
      <c r="D26" s="35">
        <v>5284.3</v>
      </c>
      <c r="E26" s="35">
        <v>4141.1000000000004</v>
      </c>
      <c r="F26" s="61">
        <f t="shared" si="0"/>
        <v>10813252.34</v>
      </c>
      <c r="G26" s="53">
        <f>ROUND(818.06*E26,2)</f>
        <v>3387668.27</v>
      </c>
      <c r="H26" s="53">
        <f t="shared" si="2"/>
        <v>818.06000096592686</v>
      </c>
      <c r="I26" s="53">
        <f>2*2544152.91</f>
        <v>5088305.82</v>
      </c>
      <c r="J26" s="53">
        <f>ROUND(564.41*E26,2)</f>
        <v>2337278.25</v>
      </c>
      <c r="K26" s="53">
        <f t="shared" si="5"/>
        <v>564.40999975851821</v>
      </c>
      <c r="L26" s="53">
        <v>0</v>
      </c>
      <c r="M26" s="53">
        <f t="shared" si="6"/>
        <v>0</v>
      </c>
      <c r="N26" s="53">
        <v>0</v>
      </c>
      <c r="O26" s="53">
        <f t="shared" si="7"/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111">
        <f t="shared" si="3"/>
        <v>10813252.34</v>
      </c>
      <c r="W26" s="71">
        <v>2017</v>
      </c>
      <c r="X26" s="71">
        <v>2017</v>
      </c>
      <c r="Y26" s="72" t="s">
        <v>155</v>
      </c>
      <c r="Z26" s="71">
        <v>9</v>
      </c>
      <c r="AA26" s="72" t="s">
        <v>169</v>
      </c>
      <c r="AB26" s="72" t="s">
        <v>217</v>
      </c>
    </row>
    <row r="27" spans="1:28" s="24" customFormat="1" ht="18" customHeight="1">
      <c r="A27" s="274">
        <f t="shared" si="4"/>
        <v>11</v>
      </c>
      <c r="B27" s="178" t="s">
        <v>215</v>
      </c>
      <c r="C27" s="130">
        <v>1992</v>
      </c>
      <c r="D27" s="35">
        <v>3757.1</v>
      </c>
      <c r="E27" s="35">
        <v>3296.1</v>
      </c>
      <c r="F27" s="61">
        <f t="shared" si="0"/>
        <v>8726565.9299999997</v>
      </c>
      <c r="G27" s="53">
        <f>ROUND(818.06*E27,2)</f>
        <v>2696407.57</v>
      </c>
      <c r="H27" s="53">
        <f t="shared" si="2"/>
        <v>818.06000121355544</v>
      </c>
      <c r="I27" s="53">
        <v>4021580.94</v>
      </c>
      <c r="J27" s="53">
        <f>ROUND(609.38*E27,2)</f>
        <v>2008577.42</v>
      </c>
      <c r="K27" s="53">
        <f t="shared" si="5"/>
        <v>609.38000060677768</v>
      </c>
      <c r="L27" s="53">
        <v>0</v>
      </c>
      <c r="M27" s="53">
        <f t="shared" si="6"/>
        <v>0</v>
      </c>
      <c r="N27" s="53">
        <v>0</v>
      </c>
      <c r="O27" s="53">
        <f t="shared" si="7"/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111">
        <f t="shared" si="3"/>
        <v>8726565.9299999997</v>
      </c>
      <c r="W27" s="71">
        <v>2017</v>
      </c>
      <c r="X27" s="71">
        <v>2017</v>
      </c>
      <c r="Y27" s="72" t="s">
        <v>154</v>
      </c>
      <c r="Z27" s="71">
        <v>9</v>
      </c>
      <c r="AA27" s="72" t="s">
        <v>169</v>
      </c>
      <c r="AB27" s="72" t="s">
        <v>217</v>
      </c>
    </row>
    <row r="28" spans="1:28" ht="18" customHeight="1">
      <c r="A28" s="352" t="s">
        <v>280</v>
      </c>
      <c r="B28" s="353"/>
      <c r="C28" s="122"/>
      <c r="D28" s="131">
        <f>SUM(D17:D27)</f>
        <v>42014.829999999994</v>
      </c>
      <c r="E28" s="131">
        <f>SUM(E17:E27)</f>
        <v>37453.9</v>
      </c>
      <c r="F28" s="27">
        <f>SUM(F17:F27)</f>
        <v>81001649.060000002</v>
      </c>
      <c r="G28" s="28">
        <f>SUM(G17:G27)</f>
        <v>22112660.91</v>
      </c>
      <c r="H28" s="28"/>
      <c r="I28" s="28">
        <f>SUM(I17:I27)</f>
        <v>13131467.699999999</v>
      </c>
      <c r="J28" s="28">
        <f>SUM(J17:J27)</f>
        <v>33696145.039999999</v>
      </c>
      <c r="K28" s="28"/>
      <c r="L28" s="28">
        <f>SUM(L17:L27)</f>
        <v>0</v>
      </c>
      <c r="M28" s="53"/>
      <c r="N28" s="28">
        <f>SUM(N17:N27)</f>
        <v>12061375.41</v>
      </c>
      <c r="O28" s="53"/>
      <c r="P28" s="28">
        <f>SUM(P17:P27)</f>
        <v>0</v>
      </c>
      <c r="Q28" s="28"/>
      <c r="R28" s="28">
        <f>SUM(R17:R27)</f>
        <v>0</v>
      </c>
      <c r="S28" s="28">
        <f>SUM(S17:S27)</f>
        <v>0</v>
      </c>
      <c r="T28" s="28">
        <f>SUM(T17:T27)</f>
        <v>0</v>
      </c>
      <c r="U28" s="28">
        <f>SUM(U17:U27)</f>
        <v>0</v>
      </c>
      <c r="V28" s="110">
        <f>SUM(V17:V27)</f>
        <v>81001649.060000002</v>
      </c>
      <c r="W28" s="22" t="s">
        <v>117</v>
      </c>
      <c r="X28" s="22" t="s">
        <v>117</v>
      </c>
    </row>
    <row r="29" spans="1:28" ht="18" customHeight="1">
      <c r="A29" s="354" t="s">
        <v>29</v>
      </c>
      <c r="B29" s="355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6"/>
      <c r="T29" s="356"/>
      <c r="U29" s="356"/>
      <c r="V29" s="357"/>
      <c r="W29" s="29"/>
      <c r="X29" s="30"/>
    </row>
    <row r="30" spans="1:28" s="24" customFormat="1" ht="18" customHeight="1">
      <c r="A30" s="51">
        <f>A27+1</f>
        <v>12</v>
      </c>
      <c r="B30" s="100" t="s">
        <v>158</v>
      </c>
      <c r="C30" s="101">
        <v>1959</v>
      </c>
      <c r="D30" s="152">
        <v>3434.8</v>
      </c>
      <c r="E30" s="152">
        <v>2659.6</v>
      </c>
      <c r="F30" s="54">
        <f t="shared" ref="F30:F40" si="8">G30+I30+J30+L30+N30+P30+R30</f>
        <v>2432310.58</v>
      </c>
      <c r="G30" s="53">
        <v>0</v>
      </c>
      <c r="H30" s="53"/>
      <c r="I30" s="53">
        <v>0</v>
      </c>
      <c r="J30" s="53">
        <f>ROUND(914.54*E30,2)</f>
        <v>2432310.58</v>
      </c>
      <c r="K30" s="53">
        <f t="shared" ref="K30:K38" si="9">J30/E30</f>
        <v>914.5399984960145</v>
      </c>
      <c r="L30" s="53">
        <v>0</v>
      </c>
      <c r="M30" s="53"/>
      <c r="N30" s="53">
        <v>0</v>
      </c>
      <c r="O30" s="53"/>
      <c r="P30" s="53">
        <v>0</v>
      </c>
      <c r="Q30" s="53"/>
      <c r="R30" s="53">
        <v>0</v>
      </c>
      <c r="S30" s="53">
        <v>0</v>
      </c>
      <c r="T30" s="53">
        <v>0</v>
      </c>
      <c r="U30" s="53">
        <v>0</v>
      </c>
      <c r="V30" s="65">
        <f>F30</f>
        <v>2432310.58</v>
      </c>
      <c r="W30" s="71">
        <v>2017</v>
      </c>
      <c r="X30" s="71">
        <v>2017</v>
      </c>
      <c r="Y30" s="103" t="s">
        <v>157</v>
      </c>
      <c r="Z30" s="101">
        <v>4</v>
      </c>
    </row>
    <row r="31" spans="1:28" s="24" customFormat="1" ht="18" customHeight="1">
      <c r="A31" s="51">
        <f>A30+1</f>
        <v>13</v>
      </c>
      <c r="B31" s="100" t="s">
        <v>159</v>
      </c>
      <c r="C31" s="101">
        <v>1961</v>
      </c>
      <c r="D31" s="153">
        <v>1700.8</v>
      </c>
      <c r="E31" s="153">
        <v>1577</v>
      </c>
      <c r="F31" s="54">
        <f t="shared" si="8"/>
        <v>2833301.2800000003</v>
      </c>
      <c r="G31" s="53">
        <v>0</v>
      </c>
      <c r="H31" s="53"/>
      <c r="I31" s="53">
        <v>0</v>
      </c>
      <c r="J31" s="53">
        <f>ROUND(914.54*E31,2)</f>
        <v>1442229.58</v>
      </c>
      <c r="K31" s="53">
        <f t="shared" si="9"/>
        <v>914.54000000000008</v>
      </c>
      <c r="L31" s="53">
        <v>0</v>
      </c>
      <c r="M31" s="53"/>
      <c r="N31" s="53">
        <f>ROUND(882.1*E31,2)</f>
        <v>1391071.7</v>
      </c>
      <c r="O31" s="53">
        <f>N31/E31</f>
        <v>882.1</v>
      </c>
      <c r="P31" s="53">
        <v>0</v>
      </c>
      <c r="Q31" s="53"/>
      <c r="R31" s="53">
        <v>0</v>
      </c>
      <c r="S31" s="53">
        <v>0</v>
      </c>
      <c r="T31" s="53">
        <v>0</v>
      </c>
      <c r="U31" s="53">
        <v>0</v>
      </c>
      <c r="V31" s="65">
        <f>F31</f>
        <v>2833301.2800000003</v>
      </c>
      <c r="W31" s="71">
        <v>2017</v>
      </c>
      <c r="X31" s="71">
        <v>2017</v>
      </c>
      <c r="Y31" s="104" t="s">
        <v>155</v>
      </c>
      <c r="Z31" s="101">
        <v>5</v>
      </c>
    </row>
    <row r="32" spans="1:28" s="24" customFormat="1" ht="18" customHeight="1">
      <c r="A32" s="51">
        <f t="shared" ref="A32:A40" si="10">A31+1</f>
        <v>14</v>
      </c>
      <c r="B32" s="100" t="s">
        <v>160</v>
      </c>
      <c r="C32" s="101">
        <v>1965</v>
      </c>
      <c r="D32" s="154">
        <v>1867.7</v>
      </c>
      <c r="E32" s="154">
        <v>1536.8</v>
      </c>
      <c r="F32" s="54">
        <f t="shared" si="8"/>
        <v>3807130.01</v>
      </c>
      <c r="G32" s="53">
        <v>0</v>
      </c>
      <c r="H32" s="53">
        <f>G32/E32</f>
        <v>0</v>
      </c>
      <c r="I32" s="53">
        <v>0</v>
      </c>
      <c r="J32" s="53">
        <f>ROUND(1595.21*E32,2)</f>
        <v>2451518.73</v>
      </c>
      <c r="K32" s="53">
        <f t="shared" si="9"/>
        <v>1595.2100013014056</v>
      </c>
      <c r="L32" s="53">
        <v>0</v>
      </c>
      <c r="M32" s="53"/>
      <c r="N32" s="53">
        <f>ROUND(882.1*E32,2)</f>
        <v>1355611.28</v>
      </c>
      <c r="O32" s="53">
        <f>N32/E32</f>
        <v>882.1</v>
      </c>
      <c r="P32" s="53">
        <v>0</v>
      </c>
      <c r="Q32" s="53"/>
      <c r="R32" s="53">
        <v>0</v>
      </c>
      <c r="S32" s="53">
        <v>0</v>
      </c>
      <c r="T32" s="53">
        <v>0</v>
      </c>
      <c r="U32" s="53">
        <v>0</v>
      </c>
      <c r="V32" s="65">
        <f>F32</f>
        <v>3807130.01</v>
      </c>
      <c r="W32" s="71">
        <v>2017</v>
      </c>
      <c r="X32" s="71">
        <v>2017</v>
      </c>
      <c r="Y32" s="104" t="s">
        <v>155</v>
      </c>
      <c r="Z32" s="101">
        <v>4</v>
      </c>
    </row>
    <row r="33" spans="1:26" s="24" customFormat="1" ht="18" customHeight="1">
      <c r="A33" s="51">
        <f t="shared" si="10"/>
        <v>15</v>
      </c>
      <c r="B33" s="100" t="s">
        <v>64</v>
      </c>
      <c r="C33" s="101">
        <v>1949</v>
      </c>
      <c r="D33" s="155">
        <v>7532.3</v>
      </c>
      <c r="E33" s="155">
        <v>5486.8</v>
      </c>
      <c r="F33" s="54">
        <f t="shared" si="8"/>
        <v>13592504.510000002</v>
      </c>
      <c r="G33" s="53">
        <v>0</v>
      </c>
      <c r="H33" s="53">
        <f>G33/E33</f>
        <v>0</v>
      </c>
      <c r="I33" s="53">
        <v>0</v>
      </c>
      <c r="J33" s="53">
        <f>ROUND(1595.21*E33,2)</f>
        <v>8752598.2300000004</v>
      </c>
      <c r="K33" s="53">
        <f t="shared" si="9"/>
        <v>1595.2100003645112</v>
      </c>
      <c r="L33" s="53">
        <v>0</v>
      </c>
      <c r="M33" s="53"/>
      <c r="N33" s="53">
        <f>ROUND(882.1*E33,2)</f>
        <v>4839906.28</v>
      </c>
      <c r="O33" s="53">
        <f>N33/E33</f>
        <v>882.1</v>
      </c>
      <c r="P33" s="53">
        <v>0</v>
      </c>
      <c r="Q33" s="53"/>
      <c r="R33" s="53">
        <v>0</v>
      </c>
      <c r="S33" s="53">
        <v>0</v>
      </c>
      <c r="T33" s="53">
        <v>0</v>
      </c>
      <c r="U33" s="53">
        <v>0</v>
      </c>
      <c r="V33" s="65">
        <f>F33</f>
        <v>13592504.510000002</v>
      </c>
      <c r="W33" s="71">
        <v>2017</v>
      </c>
      <c r="X33" s="71">
        <v>2017</v>
      </c>
      <c r="Y33" s="104" t="s">
        <v>155</v>
      </c>
      <c r="Z33" s="101">
        <v>5</v>
      </c>
    </row>
    <row r="34" spans="1:26" s="24" customFormat="1" ht="16.5" customHeight="1">
      <c r="A34" s="51">
        <f t="shared" si="10"/>
        <v>16</v>
      </c>
      <c r="B34" s="100" t="s">
        <v>44</v>
      </c>
      <c r="C34" s="101">
        <v>1963</v>
      </c>
      <c r="D34" s="154">
        <v>3178.4</v>
      </c>
      <c r="E34" s="154">
        <v>2998.4</v>
      </c>
      <c r="F34" s="54">
        <f t="shared" si="8"/>
        <v>2452871.1</v>
      </c>
      <c r="G34" s="53">
        <f>ROUND(818.06*E34,2)</f>
        <v>2452871.1</v>
      </c>
      <c r="H34" s="53">
        <f>G34/E34</f>
        <v>818.05999866595516</v>
      </c>
      <c r="I34" s="53">
        <v>0</v>
      </c>
      <c r="J34" s="53">
        <v>0</v>
      </c>
      <c r="K34" s="53">
        <f t="shared" si="9"/>
        <v>0</v>
      </c>
      <c r="L34" s="53">
        <v>0</v>
      </c>
      <c r="M34" s="53"/>
      <c r="N34" s="53">
        <v>0</v>
      </c>
      <c r="O34" s="53">
        <f t="shared" ref="O34:O39" si="11">N34/E34</f>
        <v>0</v>
      </c>
      <c r="P34" s="53">
        <v>0</v>
      </c>
      <c r="Q34" s="53"/>
      <c r="R34" s="53">
        <v>0</v>
      </c>
      <c r="S34" s="53">
        <v>0</v>
      </c>
      <c r="T34" s="53">
        <v>0</v>
      </c>
      <c r="U34" s="53">
        <v>0</v>
      </c>
      <c r="V34" s="65">
        <f t="shared" ref="V34:V40" si="12">F34</f>
        <v>2452871.1</v>
      </c>
      <c r="W34" s="71">
        <v>2017</v>
      </c>
      <c r="X34" s="71">
        <v>2017</v>
      </c>
      <c r="Y34" s="104" t="s">
        <v>155</v>
      </c>
      <c r="Z34" s="101">
        <v>5</v>
      </c>
    </row>
    <row r="35" spans="1:26" s="24" customFormat="1" ht="16.5" customHeight="1">
      <c r="A35" s="51">
        <f t="shared" si="10"/>
        <v>17</v>
      </c>
      <c r="B35" s="100" t="s">
        <v>491</v>
      </c>
      <c r="C35" s="101">
        <v>1976</v>
      </c>
      <c r="D35" s="154">
        <v>2819.8</v>
      </c>
      <c r="E35" s="102">
        <v>2298.16</v>
      </c>
      <c r="F35" s="54">
        <f t="shared" si="8"/>
        <v>1368094.65</v>
      </c>
      <c r="G35" s="53">
        <f>ROUND((163.46+250.9+180.94)*E35,2)</f>
        <v>1368094.65</v>
      </c>
      <c r="H35" s="53">
        <f>G35/E35</f>
        <v>595.30000087026144</v>
      </c>
      <c r="I35" s="53">
        <v>0</v>
      </c>
      <c r="J35" s="53">
        <v>0</v>
      </c>
      <c r="K35" s="53">
        <f t="shared" si="9"/>
        <v>0</v>
      </c>
      <c r="L35" s="53">
        <v>0</v>
      </c>
      <c r="M35" s="53"/>
      <c r="N35" s="53">
        <v>0</v>
      </c>
      <c r="O35" s="53">
        <f t="shared" si="11"/>
        <v>0</v>
      </c>
      <c r="P35" s="53">
        <v>0</v>
      </c>
      <c r="Q35" s="53"/>
      <c r="R35" s="53">
        <v>0</v>
      </c>
      <c r="S35" s="53">
        <v>0</v>
      </c>
      <c r="T35" s="53">
        <v>0</v>
      </c>
      <c r="U35" s="53">
        <v>0</v>
      </c>
      <c r="V35" s="65">
        <f t="shared" si="12"/>
        <v>1368094.65</v>
      </c>
      <c r="W35" s="71">
        <v>2017</v>
      </c>
      <c r="X35" s="71">
        <v>2017</v>
      </c>
      <c r="Y35" s="104" t="s">
        <v>155</v>
      </c>
      <c r="Z35" s="101">
        <v>9</v>
      </c>
    </row>
    <row r="36" spans="1:26" s="24" customFormat="1" ht="18" customHeight="1">
      <c r="A36" s="51">
        <f t="shared" si="10"/>
        <v>18</v>
      </c>
      <c r="B36" s="100" t="s">
        <v>161</v>
      </c>
      <c r="C36" s="101">
        <v>1959</v>
      </c>
      <c r="D36" s="154">
        <v>6720.5</v>
      </c>
      <c r="E36" s="154">
        <v>5379</v>
      </c>
      <c r="F36" s="54">
        <f t="shared" si="8"/>
        <v>8580634.5899999999</v>
      </c>
      <c r="G36" s="53">
        <v>0</v>
      </c>
      <c r="H36" s="53"/>
      <c r="I36" s="53">
        <v>0</v>
      </c>
      <c r="J36" s="53">
        <f>ROUND(1595.21*E36,2)</f>
        <v>8580634.5899999999</v>
      </c>
      <c r="K36" s="53">
        <f t="shared" si="9"/>
        <v>1595.21</v>
      </c>
      <c r="L36" s="53">
        <v>0</v>
      </c>
      <c r="M36" s="53"/>
      <c r="N36" s="53">
        <v>0</v>
      </c>
      <c r="O36" s="53">
        <f t="shared" si="11"/>
        <v>0</v>
      </c>
      <c r="P36" s="53">
        <v>0</v>
      </c>
      <c r="Q36" s="53"/>
      <c r="R36" s="53">
        <v>0</v>
      </c>
      <c r="S36" s="53">
        <v>0</v>
      </c>
      <c r="T36" s="53">
        <v>0</v>
      </c>
      <c r="U36" s="53">
        <v>0</v>
      </c>
      <c r="V36" s="65">
        <f t="shared" si="12"/>
        <v>8580634.5899999999</v>
      </c>
      <c r="W36" s="71">
        <v>2017</v>
      </c>
      <c r="X36" s="71">
        <v>2017</v>
      </c>
      <c r="Y36" s="104" t="s">
        <v>155</v>
      </c>
      <c r="Z36" s="101">
        <v>5</v>
      </c>
    </row>
    <row r="37" spans="1:26" s="24" customFormat="1" ht="18" customHeight="1">
      <c r="A37" s="51">
        <f t="shared" si="10"/>
        <v>19</v>
      </c>
      <c r="B37" s="100" t="s">
        <v>162</v>
      </c>
      <c r="C37" s="101">
        <v>1954</v>
      </c>
      <c r="D37" s="156">
        <v>2444.6</v>
      </c>
      <c r="E37" s="156">
        <v>2070.1</v>
      </c>
      <c r="F37" s="54">
        <f t="shared" si="8"/>
        <v>3302244.22</v>
      </c>
      <c r="G37" s="53">
        <v>0</v>
      </c>
      <c r="H37" s="53"/>
      <c r="I37" s="53">
        <v>0</v>
      </c>
      <c r="J37" s="53">
        <f>ROUND(1595.21*E37,2)</f>
        <v>3302244.22</v>
      </c>
      <c r="K37" s="53">
        <f t="shared" si="9"/>
        <v>1595.2099995169317</v>
      </c>
      <c r="L37" s="53">
        <v>0</v>
      </c>
      <c r="M37" s="53"/>
      <c r="N37" s="53">
        <v>0</v>
      </c>
      <c r="O37" s="53">
        <f t="shared" si="11"/>
        <v>0</v>
      </c>
      <c r="P37" s="53">
        <v>0</v>
      </c>
      <c r="Q37" s="53"/>
      <c r="R37" s="53">
        <v>0</v>
      </c>
      <c r="S37" s="53">
        <v>0</v>
      </c>
      <c r="T37" s="53">
        <v>0</v>
      </c>
      <c r="U37" s="53">
        <v>0</v>
      </c>
      <c r="V37" s="65">
        <f t="shared" si="12"/>
        <v>3302244.22</v>
      </c>
      <c r="W37" s="71">
        <v>2017</v>
      </c>
      <c r="X37" s="71">
        <v>2017</v>
      </c>
      <c r="Y37" s="104" t="s">
        <v>155</v>
      </c>
      <c r="Z37" s="101">
        <v>4</v>
      </c>
    </row>
    <row r="38" spans="1:26" s="24" customFormat="1" ht="18" customHeight="1">
      <c r="A38" s="51">
        <f t="shared" si="10"/>
        <v>20</v>
      </c>
      <c r="B38" s="100" t="s">
        <v>163</v>
      </c>
      <c r="C38" s="101">
        <v>1939</v>
      </c>
      <c r="D38" s="152">
        <v>6598.1</v>
      </c>
      <c r="E38" s="152">
        <v>3505.7</v>
      </c>
      <c r="F38" s="54">
        <f t="shared" si="8"/>
        <v>5592327.7000000002</v>
      </c>
      <c r="G38" s="53">
        <v>0</v>
      </c>
      <c r="H38" s="53"/>
      <c r="I38" s="53">
        <v>0</v>
      </c>
      <c r="J38" s="53">
        <f>ROUND(1595.21*E38,2)</f>
        <v>5592327.7000000002</v>
      </c>
      <c r="K38" s="53">
        <f t="shared" si="9"/>
        <v>1595.2100008557493</v>
      </c>
      <c r="L38" s="53">
        <v>0</v>
      </c>
      <c r="M38" s="53"/>
      <c r="N38" s="53">
        <v>0</v>
      </c>
      <c r="O38" s="53"/>
      <c r="P38" s="53">
        <v>0</v>
      </c>
      <c r="Q38" s="53"/>
      <c r="R38" s="53">
        <v>0</v>
      </c>
      <c r="S38" s="53">
        <v>0</v>
      </c>
      <c r="T38" s="53">
        <v>0</v>
      </c>
      <c r="U38" s="53">
        <v>0</v>
      </c>
      <c r="V38" s="65">
        <f t="shared" si="12"/>
        <v>5592327.7000000002</v>
      </c>
      <c r="W38" s="71">
        <v>2017</v>
      </c>
      <c r="X38" s="71">
        <v>2017</v>
      </c>
      <c r="Y38" s="104" t="s">
        <v>155</v>
      </c>
      <c r="Z38" s="101">
        <v>5</v>
      </c>
    </row>
    <row r="39" spans="1:26" s="24" customFormat="1" ht="16.5" customHeight="1">
      <c r="A39" s="51">
        <f t="shared" si="10"/>
        <v>21</v>
      </c>
      <c r="B39" s="100" t="s">
        <v>164</v>
      </c>
      <c r="C39" s="101">
        <v>1987</v>
      </c>
      <c r="D39" s="154">
        <v>2291.6999999999998</v>
      </c>
      <c r="E39" s="154">
        <v>1921.5</v>
      </c>
      <c r="F39" s="54">
        <f t="shared" si="8"/>
        <v>2544152.91</v>
      </c>
      <c r="G39" s="53">
        <v>0</v>
      </c>
      <c r="H39" s="53"/>
      <c r="I39" s="53">
        <v>2544152.91</v>
      </c>
      <c r="J39" s="53">
        <v>0</v>
      </c>
      <c r="K39" s="53"/>
      <c r="L39" s="53">
        <v>0</v>
      </c>
      <c r="M39" s="53"/>
      <c r="N39" s="53">
        <v>0</v>
      </c>
      <c r="O39" s="53">
        <f t="shared" si="11"/>
        <v>0</v>
      </c>
      <c r="P39" s="53">
        <v>0</v>
      </c>
      <c r="Q39" s="53"/>
      <c r="R39" s="53">
        <v>0</v>
      </c>
      <c r="S39" s="53">
        <v>0</v>
      </c>
      <c r="T39" s="53">
        <v>0</v>
      </c>
      <c r="U39" s="53">
        <v>0</v>
      </c>
      <c r="V39" s="65">
        <f t="shared" si="12"/>
        <v>2544152.91</v>
      </c>
      <c r="W39" s="71">
        <v>2017</v>
      </c>
      <c r="X39" s="71">
        <v>2017</v>
      </c>
      <c r="Y39" s="104" t="s">
        <v>155</v>
      </c>
      <c r="Z39" s="101">
        <v>9</v>
      </c>
    </row>
    <row r="40" spans="1:26" s="24" customFormat="1" ht="16.5" customHeight="1">
      <c r="A40" s="51">
        <f t="shared" si="10"/>
        <v>22</v>
      </c>
      <c r="B40" s="100" t="s">
        <v>43</v>
      </c>
      <c r="C40" s="101">
        <v>1960</v>
      </c>
      <c r="D40" s="154">
        <v>4286.7</v>
      </c>
      <c r="E40" s="154">
        <v>3981.2</v>
      </c>
      <c r="F40" s="54">
        <f t="shared" si="8"/>
        <v>8056157.2599999998</v>
      </c>
      <c r="G40" s="53">
        <f>ROUND((818.06+151+215+321.45+518.04)*E40,2)</f>
        <v>8056157.2599999998</v>
      </c>
      <c r="H40" s="31">
        <f>G40/E40</f>
        <v>2023.55</v>
      </c>
      <c r="I40" s="53">
        <v>0</v>
      </c>
      <c r="J40" s="53">
        <v>0</v>
      </c>
      <c r="K40" s="53"/>
      <c r="L40" s="53">
        <v>0</v>
      </c>
      <c r="M40" s="53"/>
      <c r="N40" s="53">
        <v>0</v>
      </c>
      <c r="O40" s="53"/>
      <c r="P40" s="53">
        <v>0</v>
      </c>
      <c r="Q40" s="53"/>
      <c r="R40" s="53">
        <v>0</v>
      </c>
      <c r="S40" s="53">
        <v>0</v>
      </c>
      <c r="T40" s="53">
        <v>0</v>
      </c>
      <c r="U40" s="53">
        <v>0</v>
      </c>
      <c r="V40" s="65">
        <f t="shared" si="12"/>
        <v>8056157.2599999998</v>
      </c>
      <c r="W40" s="71">
        <v>2017</v>
      </c>
      <c r="X40" s="71">
        <v>2017</v>
      </c>
      <c r="Y40" s="104" t="s">
        <v>155</v>
      </c>
      <c r="Z40" s="101">
        <v>5</v>
      </c>
    </row>
    <row r="41" spans="1:26" ht="16.5" customHeight="1">
      <c r="A41" s="352" t="s">
        <v>280</v>
      </c>
      <c r="B41" s="353"/>
      <c r="C41" s="86"/>
      <c r="D41" s="112">
        <f>SUM(D30:D40)</f>
        <v>42875.399999999994</v>
      </c>
      <c r="E41" s="112">
        <f>SUM(E30:E40)</f>
        <v>33414.26</v>
      </c>
      <c r="F41" s="87">
        <f t="shared" ref="F41:V41" si="13">SUM(F30:F40)</f>
        <v>54561728.809999995</v>
      </c>
      <c r="G41" s="77">
        <f t="shared" si="13"/>
        <v>11877123.01</v>
      </c>
      <c r="H41" s="77"/>
      <c r="I41" s="77">
        <f t="shared" si="13"/>
        <v>2544152.91</v>
      </c>
      <c r="J41" s="77">
        <f t="shared" si="13"/>
        <v>32553863.629999999</v>
      </c>
      <c r="K41" s="77"/>
      <c r="L41" s="77">
        <f t="shared" si="13"/>
        <v>0</v>
      </c>
      <c r="M41" s="77"/>
      <c r="N41" s="77">
        <f t="shared" si="13"/>
        <v>7586589.2599999998</v>
      </c>
      <c r="O41" s="77"/>
      <c r="P41" s="77">
        <f t="shared" si="13"/>
        <v>0</v>
      </c>
      <c r="Q41" s="77"/>
      <c r="R41" s="77">
        <f t="shared" si="13"/>
        <v>0</v>
      </c>
      <c r="S41" s="77">
        <f t="shared" si="13"/>
        <v>0</v>
      </c>
      <c r="T41" s="77">
        <f t="shared" si="13"/>
        <v>0</v>
      </c>
      <c r="U41" s="77">
        <f t="shared" si="13"/>
        <v>0</v>
      </c>
      <c r="V41" s="112">
        <f t="shared" si="13"/>
        <v>54561728.809999995</v>
      </c>
      <c r="W41" s="22" t="s">
        <v>117</v>
      </c>
      <c r="X41" s="22" t="s">
        <v>117</v>
      </c>
    </row>
    <row r="42" spans="1:26" ht="16.5" customHeight="1">
      <c r="A42" s="354" t="s">
        <v>137</v>
      </c>
      <c r="B42" s="355"/>
      <c r="C42" s="355"/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60"/>
      <c r="W42" s="38"/>
      <c r="X42" s="38"/>
    </row>
    <row r="43" spans="1:26" ht="16.5" customHeight="1">
      <c r="A43" s="51">
        <f>A40+1</f>
        <v>23</v>
      </c>
      <c r="B43" s="52" t="s">
        <v>141</v>
      </c>
      <c r="C43" s="51" t="s">
        <v>65</v>
      </c>
      <c r="D43" s="67">
        <v>1267</v>
      </c>
      <c r="E43" s="67">
        <v>1232.5</v>
      </c>
      <c r="F43" s="54">
        <f t="shared" ref="F43:F48" si="14">G43+I43+J43+L43+N43+P43+R43</f>
        <v>1087188.25</v>
      </c>
      <c r="G43" s="53">
        <v>0</v>
      </c>
      <c r="H43" s="53">
        <f t="shared" ref="H43:H48" si="15">G43/E43</f>
        <v>0</v>
      </c>
      <c r="I43" s="53">
        <v>0</v>
      </c>
      <c r="J43" s="53">
        <v>0</v>
      </c>
      <c r="K43" s="53"/>
      <c r="L43" s="53">
        <v>0</v>
      </c>
      <c r="M43" s="53"/>
      <c r="N43" s="53">
        <f>ROUND(882.1*E43,2)</f>
        <v>1087188.25</v>
      </c>
      <c r="O43" s="53">
        <f t="shared" ref="O43:O48" si="16">N43/E43</f>
        <v>882.1</v>
      </c>
      <c r="P43" s="53">
        <v>0</v>
      </c>
      <c r="Q43" s="53"/>
      <c r="R43" s="53">
        <v>0</v>
      </c>
      <c r="S43" s="53">
        <v>0</v>
      </c>
      <c r="T43" s="53">
        <v>0</v>
      </c>
      <c r="U43" s="53">
        <v>0</v>
      </c>
      <c r="V43" s="111">
        <f t="shared" ref="V43:V48" si="17">F43</f>
        <v>1087188.25</v>
      </c>
      <c r="W43" s="71">
        <v>2017</v>
      </c>
      <c r="X43" s="71">
        <v>2017</v>
      </c>
      <c r="Y43" s="104" t="s">
        <v>155</v>
      </c>
      <c r="Z43" s="101">
        <v>4</v>
      </c>
    </row>
    <row r="44" spans="1:26" ht="16.5" customHeight="1">
      <c r="A44" s="51">
        <f>A43+1</f>
        <v>24</v>
      </c>
      <c r="B44" s="52" t="s">
        <v>140</v>
      </c>
      <c r="C44" s="40">
        <v>1963</v>
      </c>
      <c r="D44" s="70">
        <v>2711.4</v>
      </c>
      <c r="E44" s="67">
        <v>2513.6</v>
      </c>
      <c r="F44" s="54">
        <f t="shared" si="14"/>
        <v>4009719.86</v>
      </c>
      <c r="G44" s="53">
        <v>0</v>
      </c>
      <c r="H44" s="53">
        <f t="shared" si="15"/>
        <v>0</v>
      </c>
      <c r="I44" s="53">
        <v>0</v>
      </c>
      <c r="J44" s="53">
        <f>ROUND(1595.21*E44,2)</f>
        <v>4009719.86</v>
      </c>
      <c r="K44" s="53">
        <f>J44/E44</f>
        <v>1595.2100015913431</v>
      </c>
      <c r="L44" s="53">
        <v>0</v>
      </c>
      <c r="M44" s="53"/>
      <c r="N44" s="53">
        <v>0</v>
      </c>
      <c r="O44" s="53">
        <f t="shared" si="16"/>
        <v>0</v>
      </c>
      <c r="P44" s="53">
        <v>0</v>
      </c>
      <c r="Q44" s="53"/>
      <c r="R44" s="53">
        <v>0</v>
      </c>
      <c r="S44" s="53">
        <v>0</v>
      </c>
      <c r="T44" s="53">
        <v>0</v>
      </c>
      <c r="U44" s="53">
        <v>0</v>
      </c>
      <c r="V44" s="111">
        <f t="shared" si="17"/>
        <v>4009719.86</v>
      </c>
      <c r="W44" s="71">
        <v>2017</v>
      </c>
      <c r="X44" s="71">
        <v>2017</v>
      </c>
      <c r="Y44" s="104" t="s">
        <v>155</v>
      </c>
      <c r="Z44" s="101">
        <v>4</v>
      </c>
    </row>
    <row r="45" spans="1:26" ht="16.5" customHeight="1">
      <c r="A45" s="51">
        <f>A44+1</f>
        <v>25</v>
      </c>
      <c r="B45" s="52" t="s">
        <v>138</v>
      </c>
      <c r="C45" s="51" t="s">
        <v>56</v>
      </c>
      <c r="D45" s="70">
        <v>422.5</v>
      </c>
      <c r="E45" s="67">
        <v>380.7</v>
      </c>
      <c r="F45" s="54">
        <f t="shared" si="14"/>
        <v>335815.47</v>
      </c>
      <c r="G45" s="53">
        <v>0</v>
      </c>
      <c r="H45" s="53">
        <f t="shared" si="15"/>
        <v>0</v>
      </c>
      <c r="I45" s="53">
        <v>0</v>
      </c>
      <c r="J45" s="53">
        <v>0</v>
      </c>
      <c r="K45" s="53">
        <f>J45/E45</f>
        <v>0</v>
      </c>
      <c r="L45" s="53">
        <v>0</v>
      </c>
      <c r="M45" s="53"/>
      <c r="N45" s="50">
        <f>ROUND(882.1*E45,2)</f>
        <v>335815.47</v>
      </c>
      <c r="O45" s="53">
        <f t="shared" si="16"/>
        <v>882.09999999999991</v>
      </c>
      <c r="P45" s="53">
        <v>0</v>
      </c>
      <c r="Q45" s="53">
        <f>P45/E45</f>
        <v>0</v>
      </c>
      <c r="R45" s="53">
        <v>0</v>
      </c>
      <c r="S45" s="53">
        <v>0</v>
      </c>
      <c r="T45" s="53">
        <v>0</v>
      </c>
      <c r="U45" s="53">
        <v>0</v>
      </c>
      <c r="V45" s="111">
        <f t="shared" si="17"/>
        <v>335815.47</v>
      </c>
      <c r="W45" s="71">
        <v>2017</v>
      </c>
      <c r="X45" s="71">
        <v>2017</v>
      </c>
      <c r="Y45" s="104" t="s">
        <v>155</v>
      </c>
      <c r="Z45" s="101">
        <v>2</v>
      </c>
    </row>
    <row r="46" spans="1:26" ht="16.5" customHeight="1">
      <c r="A46" s="51">
        <f>A45+1</f>
        <v>26</v>
      </c>
      <c r="B46" s="52" t="s">
        <v>139</v>
      </c>
      <c r="C46" s="40">
        <v>1958</v>
      </c>
      <c r="D46" s="67">
        <v>1312.9</v>
      </c>
      <c r="E46" s="67">
        <v>1298.3</v>
      </c>
      <c r="F46" s="54">
        <f t="shared" si="14"/>
        <v>1145230.43</v>
      </c>
      <c r="G46" s="53">
        <v>0</v>
      </c>
      <c r="H46" s="53">
        <f t="shared" si="15"/>
        <v>0</v>
      </c>
      <c r="I46" s="53">
        <v>0</v>
      </c>
      <c r="J46" s="53">
        <v>0</v>
      </c>
      <c r="K46" s="53"/>
      <c r="L46" s="53">
        <v>0</v>
      </c>
      <c r="M46" s="53"/>
      <c r="N46" s="53">
        <f>ROUND(882.1*E46,2)</f>
        <v>1145230.43</v>
      </c>
      <c r="O46" s="53">
        <f t="shared" si="16"/>
        <v>882.1</v>
      </c>
      <c r="P46" s="53">
        <v>0</v>
      </c>
      <c r="Q46" s="53"/>
      <c r="R46" s="53">
        <v>0</v>
      </c>
      <c r="S46" s="53">
        <v>0</v>
      </c>
      <c r="T46" s="53">
        <v>0</v>
      </c>
      <c r="U46" s="53">
        <v>0</v>
      </c>
      <c r="V46" s="111">
        <f t="shared" si="17"/>
        <v>1145230.43</v>
      </c>
      <c r="W46" s="71">
        <v>2017</v>
      </c>
      <c r="X46" s="71">
        <v>2017</v>
      </c>
      <c r="Y46" s="104" t="s">
        <v>155</v>
      </c>
      <c r="Z46" s="101">
        <v>3</v>
      </c>
    </row>
    <row r="47" spans="1:26" ht="16.5" customHeight="1">
      <c r="A47" s="51">
        <f>A46+1</f>
        <v>27</v>
      </c>
      <c r="B47" s="52" t="s">
        <v>142</v>
      </c>
      <c r="C47" s="51" t="s">
        <v>19</v>
      </c>
      <c r="D47" s="70">
        <v>1568</v>
      </c>
      <c r="E47" s="67">
        <v>1344.4</v>
      </c>
      <c r="F47" s="54">
        <f t="shared" si="14"/>
        <v>1185895.24</v>
      </c>
      <c r="G47" s="53">
        <v>0</v>
      </c>
      <c r="H47" s="53">
        <f t="shared" si="15"/>
        <v>0</v>
      </c>
      <c r="I47" s="53">
        <v>0</v>
      </c>
      <c r="J47" s="53">
        <v>0</v>
      </c>
      <c r="K47" s="53"/>
      <c r="L47" s="53">
        <v>0</v>
      </c>
      <c r="M47" s="53"/>
      <c r="N47" s="53">
        <f>ROUND(882.1*E47,2)</f>
        <v>1185895.24</v>
      </c>
      <c r="O47" s="53">
        <f t="shared" si="16"/>
        <v>882.09999999999991</v>
      </c>
      <c r="P47" s="53">
        <v>0</v>
      </c>
      <c r="Q47" s="53"/>
      <c r="R47" s="53">
        <v>0</v>
      </c>
      <c r="S47" s="53">
        <v>0</v>
      </c>
      <c r="T47" s="53">
        <v>0</v>
      </c>
      <c r="U47" s="53">
        <v>0</v>
      </c>
      <c r="V47" s="111">
        <f t="shared" si="17"/>
        <v>1185895.24</v>
      </c>
      <c r="W47" s="71">
        <v>2017</v>
      </c>
      <c r="X47" s="71">
        <v>2017</v>
      </c>
      <c r="Y47" s="104" t="s">
        <v>155</v>
      </c>
      <c r="Z47" s="101">
        <v>3</v>
      </c>
    </row>
    <row r="48" spans="1:26" ht="16.5" customHeight="1">
      <c r="A48" s="51">
        <f>A47+1</f>
        <v>28</v>
      </c>
      <c r="B48" s="52" t="s">
        <v>156</v>
      </c>
      <c r="C48" s="40">
        <v>1963</v>
      </c>
      <c r="D48" s="67">
        <v>1259.4000000000001</v>
      </c>
      <c r="E48" s="67">
        <v>1258.7</v>
      </c>
      <c r="F48" s="54">
        <f t="shared" si="14"/>
        <v>3498267.1500000004</v>
      </c>
      <c r="G48" s="53">
        <f>ROUND((818.06+151+215)*E48,2)</f>
        <v>1490376.32</v>
      </c>
      <c r="H48" s="53">
        <f t="shared" si="15"/>
        <v>1184.059998411059</v>
      </c>
      <c r="I48" s="53">
        <v>0</v>
      </c>
      <c r="J48" s="53">
        <f>ROUND(1595.21*E48,2)</f>
        <v>2007890.83</v>
      </c>
      <c r="K48" s="53">
        <f>J48/E48</f>
        <v>1595.2100023834114</v>
      </c>
      <c r="L48" s="53">
        <v>0</v>
      </c>
      <c r="M48" s="53"/>
      <c r="N48" s="53">
        <v>0</v>
      </c>
      <c r="O48" s="53">
        <f t="shared" si="16"/>
        <v>0</v>
      </c>
      <c r="P48" s="53">
        <v>0</v>
      </c>
      <c r="Q48" s="53"/>
      <c r="R48" s="53">
        <v>0</v>
      </c>
      <c r="S48" s="53">
        <v>0</v>
      </c>
      <c r="T48" s="53">
        <v>0</v>
      </c>
      <c r="U48" s="53">
        <v>0</v>
      </c>
      <c r="V48" s="111">
        <f t="shared" si="17"/>
        <v>3498267.1500000004</v>
      </c>
      <c r="W48" s="71">
        <v>2017</v>
      </c>
      <c r="X48" s="71">
        <v>2017</v>
      </c>
      <c r="Y48" s="104" t="s">
        <v>155</v>
      </c>
      <c r="Z48" s="101">
        <v>4</v>
      </c>
    </row>
    <row r="49" spans="1:26" ht="16.5" customHeight="1">
      <c r="A49" s="352" t="s">
        <v>280</v>
      </c>
      <c r="B49" s="353"/>
      <c r="C49" s="57"/>
      <c r="D49" s="70">
        <f>SUM(D43:D48)</f>
        <v>8541.1999999999989</v>
      </c>
      <c r="E49" s="70">
        <f>SUM(E43:E48)</f>
        <v>8028.2</v>
      </c>
      <c r="F49" s="56">
        <f>SUM(F43:F48)</f>
        <v>11262116.399999999</v>
      </c>
      <c r="G49" s="50">
        <f>SUM(G43:G48)</f>
        <v>1490376.32</v>
      </c>
      <c r="H49" s="50"/>
      <c r="I49" s="50">
        <f>SUM(I43:I48)</f>
        <v>0</v>
      </c>
      <c r="J49" s="50">
        <f>SUM(J43:J48)</f>
        <v>6017610.6899999995</v>
      </c>
      <c r="K49" s="50"/>
      <c r="L49" s="50">
        <f>SUM(L43:L48)</f>
        <v>0</v>
      </c>
      <c r="M49" s="50"/>
      <c r="N49" s="50">
        <f>SUM(N43:N48)</f>
        <v>3754129.3899999997</v>
      </c>
      <c r="O49" s="50"/>
      <c r="P49" s="50">
        <f>SUM(P43:P48)</f>
        <v>0</v>
      </c>
      <c r="Q49" s="50"/>
      <c r="R49" s="50">
        <f>SUM(R43:R48)</f>
        <v>0</v>
      </c>
      <c r="S49" s="50">
        <f>SUM(S43:S48)</f>
        <v>0</v>
      </c>
      <c r="T49" s="50">
        <f>SUM(T43:T48)</f>
        <v>0</v>
      </c>
      <c r="U49" s="50">
        <f>SUM(U43:U48)</f>
        <v>0</v>
      </c>
      <c r="V49" s="113">
        <f>SUM(V43:V48)</f>
        <v>11262116.399999999</v>
      </c>
      <c r="W49" s="22" t="s">
        <v>117</v>
      </c>
      <c r="X49" s="22" t="s">
        <v>117</v>
      </c>
    </row>
    <row r="50" spans="1:26" ht="18" customHeight="1">
      <c r="A50" s="364" t="s">
        <v>28</v>
      </c>
      <c r="B50" s="365"/>
      <c r="C50" s="365"/>
      <c r="D50" s="365"/>
      <c r="E50" s="365"/>
      <c r="F50" s="365"/>
      <c r="G50" s="365"/>
      <c r="H50" s="365"/>
      <c r="I50" s="365"/>
      <c r="J50" s="365"/>
      <c r="K50" s="365"/>
      <c r="L50" s="365"/>
      <c r="M50" s="365"/>
      <c r="N50" s="365"/>
      <c r="O50" s="365"/>
      <c r="P50" s="365"/>
      <c r="Q50" s="365"/>
      <c r="R50" s="365"/>
      <c r="S50" s="365"/>
      <c r="T50" s="365"/>
      <c r="U50" s="365"/>
      <c r="V50" s="366"/>
      <c r="W50" s="29"/>
      <c r="X50" s="30"/>
    </row>
    <row r="51" spans="1:26" s="24" customFormat="1" ht="18" customHeight="1">
      <c r="A51" s="51">
        <f>A48+1</f>
        <v>29</v>
      </c>
      <c r="B51" s="32" t="s">
        <v>105</v>
      </c>
      <c r="C51" s="71">
        <v>1957</v>
      </c>
      <c r="D51" s="210">
        <v>1872</v>
      </c>
      <c r="E51" s="210">
        <v>1306.9000000000001</v>
      </c>
      <c r="F51" s="54">
        <f>G51+I51+J51+L51+N51+P51+R51</f>
        <v>2027184.87</v>
      </c>
      <c r="G51" s="249">
        <f>ROUND((151+518.04)*E51,2)-R51</f>
        <v>774368.38</v>
      </c>
      <c r="H51" s="53">
        <f t="shared" ref="H51:H56" si="18">G51/E51</f>
        <v>592.52305455658427</v>
      </c>
      <c r="I51" s="53">
        <v>0</v>
      </c>
      <c r="J51" s="250">
        <v>0</v>
      </c>
      <c r="K51" s="53"/>
      <c r="L51" s="53">
        <v>0</v>
      </c>
      <c r="M51" s="53"/>
      <c r="N51" s="53">
        <f>ROUND(882.1*E51,2)</f>
        <v>1152816.49</v>
      </c>
      <c r="O51" s="53">
        <f>N51/E51</f>
        <v>882.09999999999991</v>
      </c>
      <c r="P51" s="53">
        <v>0</v>
      </c>
      <c r="Q51" s="53"/>
      <c r="R51" s="250">
        <v>100000</v>
      </c>
      <c r="S51" s="53">
        <v>0</v>
      </c>
      <c r="T51" s="53">
        <v>0</v>
      </c>
      <c r="U51" s="53">
        <v>0</v>
      </c>
      <c r="V51" s="111">
        <f t="shared" ref="V51:V63" si="19">F51</f>
        <v>2027184.87</v>
      </c>
      <c r="W51" s="71">
        <v>2017</v>
      </c>
      <c r="X51" s="71">
        <v>2017</v>
      </c>
      <c r="Y51" s="211" t="s">
        <v>307</v>
      </c>
      <c r="Z51" s="207">
        <v>3</v>
      </c>
    </row>
    <row r="52" spans="1:26" s="24" customFormat="1" ht="18" customHeight="1">
      <c r="A52" s="51">
        <f>A51+1</f>
        <v>30</v>
      </c>
      <c r="B52" s="208" t="s">
        <v>106</v>
      </c>
      <c r="C52" s="209">
        <v>1961</v>
      </c>
      <c r="D52" s="210">
        <v>2066.6</v>
      </c>
      <c r="E52" s="210">
        <v>1615.7</v>
      </c>
      <c r="F52" s="54">
        <f t="shared" ref="F52:F63" si="20">G52+I52+J52+L52+N52+P52+R52</f>
        <v>4331174.68</v>
      </c>
      <c r="G52" s="249">
        <f>ROUND((151+518.04+215)*E52,2)-R52</f>
        <v>1328343.43</v>
      </c>
      <c r="H52" s="53">
        <f t="shared" si="18"/>
        <v>822.14732314167225</v>
      </c>
      <c r="I52" s="53">
        <v>0</v>
      </c>
      <c r="J52" s="250">
        <f>ROUND(914.54*E52,2)</f>
        <v>1477622.28</v>
      </c>
      <c r="K52" s="53">
        <f>J52/E52</f>
        <v>914.54000123785352</v>
      </c>
      <c r="L52" s="53">
        <v>0</v>
      </c>
      <c r="M52" s="53"/>
      <c r="N52" s="53">
        <f>ROUND(882.1*E52,2)</f>
        <v>1425208.97</v>
      </c>
      <c r="O52" s="53">
        <f>N52/E52</f>
        <v>882.09999999999991</v>
      </c>
      <c r="P52" s="53">
        <v>0</v>
      </c>
      <c r="Q52" s="53"/>
      <c r="R52" s="250">
        <v>100000</v>
      </c>
      <c r="S52" s="53">
        <v>0</v>
      </c>
      <c r="T52" s="53">
        <v>0</v>
      </c>
      <c r="U52" s="53">
        <v>0</v>
      </c>
      <c r="V52" s="111">
        <f t="shared" si="19"/>
        <v>4331174.68</v>
      </c>
      <c r="W52" s="71">
        <v>2017</v>
      </c>
      <c r="X52" s="71">
        <v>2017</v>
      </c>
      <c r="Y52" s="212" t="s">
        <v>369</v>
      </c>
      <c r="Z52" s="209">
        <v>5</v>
      </c>
    </row>
    <row r="53" spans="1:26" s="24" customFormat="1" ht="18" customHeight="1">
      <c r="A53" s="51">
        <f t="shared" ref="A53:A63" si="21">A52+1</f>
        <v>31</v>
      </c>
      <c r="B53" s="208" t="s">
        <v>107</v>
      </c>
      <c r="C53" s="209">
        <v>1947</v>
      </c>
      <c r="D53" s="210">
        <v>1228.7</v>
      </c>
      <c r="E53" s="210">
        <v>916.1</v>
      </c>
      <c r="F53" s="54">
        <f t="shared" si="20"/>
        <v>3079332.73</v>
      </c>
      <c r="G53" s="249">
        <f>ROUND((151+518.04+215)*E53,2)-R53</f>
        <v>709869.04</v>
      </c>
      <c r="H53" s="53">
        <f t="shared" si="18"/>
        <v>774.88160681148349</v>
      </c>
      <c r="I53" s="53">
        <v>0</v>
      </c>
      <c r="J53" s="250">
        <f>ROUND(1595.21*E53,2)</f>
        <v>1461371.88</v>
      </c>
      <c r="K53" s="53">
        <f t="shared" ref="K53:K63" si="22">J53/E53</f>
        <v>1595.2099989084159</v>
      </c>
      <c r="L53" s="53">
        <v>0</v>
      </c>
      <c r="M53" s="53"/>
      <c r="N53" s="53">
        <f>ROUND(882.1*E53,2)</f>
        <v>808091.81</v>
      </c>
      <c r="O53" s="53">
        <f>N53/E53</f>
        <v>882.1</v>
      </c>
      <c r="P53" s="53">
        <v>0</v>
      </c>
      <c r="Q53" s="53"/>
      <c r="R53" s="250">
        <v>100000</v>
      </c>
      <c r="S53" s="53">
        <v>0</v>
      </c>
      <c r="T53" s="53">
        <v>0</v>
      </c>
      <c r="U53" s="53">
        <v>0</v>
      </c>
      <c r="V53" s="111">
        <f t="shared" si="19"/>
        <v>3079332.73</v>
      </c>
      <c r="W53" s="71">
        <v>2017</v>
      </c>
      <c r="X53" s="71">
        <v>2017</v>
      </c>
      <c r="Y53" s="212" t="s">
        <v>307</v>
      </c>
      <c r="Z53" s="209">
        <v>2</v>
      </c>
    </row>
    <row r="54" spans="1:26" s="24" customFormat="1" ht="18" customHeight="1">
      <c r="A54" s="51">
        <f t="shared" si="21"/>
        <v>32</v>
      </c>
      <c r="B54" s="208" t="s">
        <v>363</v>
      </c>
      <c r="C54" s="209">
        <v>1968</v>
      </c>
      <c r="D54" s="210">
        <v>4386.2</v>
      </c>
      <c r="E54" s="210">
        <v>3771.8</v>
      </c>
      <c r="F54" s="54">
        <f t="shared" si="20"/>
        <v>7996329.1500000004</v>
      </c>
      <c r="G54" s="249">
        <f>ROUND((151+518.04+215+321.45)*E54,2)-R54</f>
        <v>4446867.18</v>
      </c>
      <c r="H54" s="53">
        <f t="shared" si="18"/>
        <v>1178.9774590381248</v>
      </c>
      <c r="I54" s="53">
        <v>0</v>
      </c>
      <c r="J54" s="250">
        <f>ROUND(914.54*E54,2)</f>
        <v>3449461.97</v>
      </c>
      <c r="K54" s="53">
        <f t="shared" si="22"/>
        <v>914.5399994697492</v>
      </c>
      <c r="L54" s="53">
        <v>0</v>
      </c>
      <c r="M54" s="53"/>
      <c r="N54" s="53">
        <v>0</v>
      </c>
      <c r="O54" s="53"/>
      <c r="P54" s="53">
        <v>0</v>
      </c>
      <c r="Q54" s="53"/>
      <c r="R54" s="250">
        <v>100000</v>
      </c>
      <c r="S54" s="53">
        <v>0</v>
      </c>
      <c r="T54" s="53">
        <v>0</v>
      </c>
      <c r="U54" s="53">
        <v>0</v>
      </c>
      <c r="V54" s="111">
        <f t="shared" si="19"/>
        <v>7996329.1500000004</v>
      </c>
      <c r="W54" s="71">
        <v>2017</v>
      </c>
      <c r="X54" s="71">
        <v>2017</v>
      </c>
      <c r="Y54" s="212" t="s">
        <v>307</v>
      </c>
      <c r="Z54" s="209">
        <v>5</v>
      </c>
    </row>
    <row r="55" spans="1:26" s="24" customFormat="1" ht="18" customHeight="1">
      <c r="A55" s="51">
        <f t="shared" si="21"/>
        <v>33</v>
      </c>
      <c r="B55" s="208" t="s">
        <v>490</v>
      </c>
      <c r="C55" s="209">
        <v>1967</v>
      </c>
      <c r="D55" s="210">
        <v>4428.2</v>
      </c>
      <c r="E55" s="210">
        <v>3431.8</v>
      </c>
      <c r="F55" s="54">
        <f t="shared" si="20"/>
        <v>7275518.9500000002</v>
      </c>
      <c r="G55" s="249">
        <f>ROUND((151+518.04+215+321.45)*E55,2)-R55</f>
        <v>4037000.58</v>
      </c>
      <c r="H55" s="53">
        <f t="shared" si="18"/>
        <v>1176.3507721895214</v>
      </c>
      <c r="I55" s="53">
        <v>0</v>
      </c>
      <c r="J55" s="250">
        <f>ROUND(914.54*E55,2)</f>
        <v>3138518.37</v>
      </c>
      <c r="K55" s="53">
        <f t="shared" si="22"/>
        <v>914.53999941721543</v>
      </c>
      <c r="L55" s="53">
        <v>0</v>
      </c>
      <c r="M55" s="53"/>
      <c r="N55" s="53">
        <v>0</v>
      </c>
      <c r="O55" s="53"/>
      <c r="P55" s="53">
        <v>0</v>
      </c>
      <c r="Q55" s="53"/>
      <c r="R55" s="250">
        <v>100000</v>
      </c>
      <c r="S55" s="53">
        <v>0</v>
      </c>
      <c r="T55" s="53">
        <v>0</v>
      </c>
      <c r="U55" s="53">
        <v>0</v>
      </c>
      <c r="V55" s="111">
        <f t="shared" si="19"/>
        <v>7275518.9500000002</v>
      </c>
      <c r="W55" s="71">
        <v>2017</v>
      </c>
      <c r="X55" s="71">
        <v>2017</v>
      </c>
      <c r="Y55" s="212" t="s">
        <v>307</v>
      </c>
      <c r="Z55" s="209">
        <v>5</v>
      </c>
    </row>
    <row r="56" spans="1:26" s="24" customFormat="1" ht="18" customHeight="1">
      <c r="A56" s="51">
        <f t="shared" si="21"/>
        <v>34</v>
      </c>
      <c r="B56" s="208" t="s">
        <v>443</v>
      </c>
      <c r="C56" s="209">
        <v>1970</v>
      </c>
      <c r="D56" s="210">
        <v>5184.4000000000005</v>
      </c>
      <c r="E56" s="210">
        <v>4788.3</v>
      </c>
      <c r="F56" s="54">
        <f t="shared" si="20"/>
        <v>5772247.7699999996</v>
      </c>
      <c r="G56" s="249">
        <f>ROUND((151+518.04+215+321.45)*E56,2)-R56</f>
        <v>5672247.7699999996</v>
      </c>
      <c r="H56" s="53">
        <f t="shared" si="18"/>
        <v>1184.6057619614476</v>
      </c>
      <c r="I56" s="53">
        <v>0</v>
      </c>
      <c r="J56" s="250">
        <v>0</v>
      </c>
      <c r="K56" s="53">
        <f t="shared" si="22"/>
        <v>0</v>
      </c>
      <c r="L56" s="53">
        <v>0</v>
      </c>
      <c r="M56" s="53"/>
      <c r="N56" s="53">
        <v>0</v>
      </c>
      <c r="O56" s="53"/>
      <c r="P56" s="53">
        <v>0</v>
      </c>
      <c r="Q56" s="53"/>
      <c r="R56" s="250">
        <v>100000</v>
      </c>
      <c r="S56" s="53">
        <v>0</v>
      </c>
      <c r="T56" s="53">
        <v>0</v>
      </c>
      <c r="U56" s="53">
        <v>0</v>
      </c>
      <c r="V56" s="111">
        <f t="shared" si="19"/>
        <v>5772247.7699999996</v>
      </c>
      <c r="W56" s="71">
        <v>2017</v>
      </c>
      <c r="X56" s="71">
        <v>2017</v>
      </c>
      <c r="Y56" s="212" t="s">
        <v>307</v>
      </c>
      <c r="Z56" s="209">
        <v>5</v>
      </c>
    </row>
    <row r="57" spans="1:26" s="24" customFormat="1" ht="18" customHeight="1">
      <c r="A57" s="51">
        <f t="shared" si="21"/>
        <v>35</v>
      </c>
      <c r="B57" s="72" t="s">
        <v>487</v>
      </c>
      <c r="C57" s="279">
        <v>1982</v>
      </c>
      <c r="D57" s="277">
        <v>8790.4</v>
      </c>
      <c r="E57" s="277">
        <v>7380.1</v>
      </c>
      <c r="F57" s="54">
        <f t="shared" si="20"/>
        <v>4165402.24</v>
      </c>
      <c r="G57" s="76">
        <v>0</v>
      </c>
      <c r="H57" s="53">
        <f>G57/E57</f>
        <v>0</v>
      </c>
      <c r="I57" s="53">
        <v>0</v>
      </c>
      <c r="J57" s="76">
        <f>ROUND(564.41*E57,2)</f>
        <v>4165402.24</v>
      </c>
      <c r="K57" s="53">
        <f t="shared" si="22"/>
        <v>564.40999986450049</v>
      </c>
      <c r="L57" s="53">
        <v>0</v>
      </c>
      <c r="M57" s="53">
        <f>L57/E57</f>
        <v>0</v>
      </c>
      <c r="N57" s="53">
        <v>0</v>
      </c>
      <c r="O57" s="53"/>
      <c r="P57" s="53">
        <v>0</v>
      </c>
      <c r="Q57" s="53"/>
      <c r="R57" s="76">
        <v>0</v>
      </c>
      <c r="S57" s="53">
        <v>0</v>
      </c>
      <c r="T57" s="53">
        <v>0</v>
      </c>
      <c r="U57" s="53">
        <v>0</v>
      </c>
      <c r="V57" s="111">
        <f t="shared" si="19"/>
        <v>4165402.24</v>
      </c>
      <c r="W57" s="71">
        <v>2017</v>
      </c>
      <c r="X57" s="71">
        <v>2017</v>
      </c>
      <c r="Y57" s="37" t="s">
        <v>307</v>
      </c>
      <c r="Z57" s="279">
        <v>9</v>
      </c>
    </row>
    <row r="58" spans="1:26" s="24" customFormat="1" ht="18" customHeight="1">
      <c r="A58" s="51">
        <f t="shared" si="21"/>
        <v>36</v>
      </c>
      <c r="B58" s="208" t="s">
        <v>364</v>
      </c>
      <c r="C58" s="209">
        <v>1939</v>
      </c>
      <c r="D58" s="210">
        <v>2874.7</v>
      </c>
      <c r="E58" s="210">
        <v>2281.1999999999998</v>
      </c>
      <c r="F58" s="54">
        <f t="shared" si="20"/>
        <v>2749963.79</v>
      </c>
      <c r="G58" s="249">
        <f>ROUND((151+518.04+215+321.45)*E58,2)-R58</f>
        <v>2649963.79</v>
      </c>
      <c r="H58" s="53">
        <f t="shared" ref="H58:H63" si="23">G58/E58</f>
        <v>1161.6534236366826</v>
      </c>
      <c r="I58" s="53">
        <v>0</v>
      </c>
      <c r="J58" s="250">
        <v>0</v>
      </c>
      <c r="K58" s="53">
        <f t="shared" si="22"/>
        <v>0</v>
      </c>
      <c r="L58" s="53">
        <v>0</v>
      </c>
      <c r="M58" s="53"/>
      <c r="N58" s="53">
        <v>0</v>
      </c>
      <c r="O58" s="53"/>
      <c r="P58" s="53">
        <v>0</v>
      </c>
      <c r="Q58" s="53"/>
      <c r="R58" s="250">
        <v>100000</v>
      </c>
      <c r="S58" s="53">
        <v>0</v>
      </c>
      <c r="T58" s="53">
        <v>0</v>
      </c>
      <c r="U58" s="53">
        <v>0</v>
      </c>
      <c r="V58" s="111">
        <f t="shared" si="19"/>
        <v>2749963.79</v>
      </c>
      <c r="W58" s="71">
        <v>2017</v>
      </c>
      <c r="X58" s="71">
        <v>2017</v>
      </c>
      <c r="Y58" s="212" t="s">
        <v>307</v>
      </c>
      <c r="Z58" s="209">
        <v>4</v>
      </c>
    </row>
    <row r="59" spans="1:26" s="24" customFormat="1" ht="18" customHeight="1">
      <c r="A59" s="51">
        <f t="shared" si="21"/>
        <v>37</v>
      </c>
      <c r="B59" s="208" t="s">
        <v>365</v>
      </c>
      <c r="C59" s="209">
        <v>1963</v>
      </c>
      <c r="D59" s="210">
        <v>2722.3</v>
      </c>
      <c r="E59" s="210">
        <v>2538.6999999999998</v>
      </c>
      <c r="F59" s="54">
        <f t="shared" si="20"/>
        <v>5382120.1600000001</v>
      </c>
      <c r="G59" s="249">
        <f>ROUND((151+518.04+215+321.45)*E59,2)-R59</f>
        <v>2960377.46</v>
      </c>
      <c r="H59" s="53">
        <f t="shared" si="23"/>
        <v>1166.0997597195415</v>
      </c>
      <c r="I59" s="53">
        <v>0</v>
      </c>
      <c r="J59" s="250">
        <f>ROUND(914.54*E59,2)</f>
        <v>2321742.7000000002</v>
      </c>
      <c r="K59" s="53">
        <f>J59/E59</f>
        <v>914.54000078780496</v>
      </c>
      <c r="L59" s="53">
        <v>0</v>
      </c>
      <c r="M59" s="53"/>
      <c r="N59" s="53">
        <v>0</v>
      </c>
      <c r="O59" s="53"/>
      <c r="P59" s="53">
        <v>0</v>
      </c>
      <c r="Q59" s="53"/>
      <c r="R59" s="250">
        <v>100000</v>
      </c>
      <c r="S59" s="53">
        <v>0</v>
      </c>
      <c r="T59" s="53">
        <v>0</v>
      </c>
      <c r="U59" s="53">
        <v>0</v>
      </c>
      <c r="V59" s="111">
        <f t="shared" si="19"/>
        <v>5382120.1600000001</v>
      </c>
      <c r="W59" s="71">
        <v>2017</v>
      </c>
      <c r="X59" s="71">
        <v>2017</v>
      </c>
      <c r="Y59" s="212" t="s">
        <v>307</v>
      </c>
      <c r="Z59" s="209">
        <v>5</v>
      </c>
    </row>
    <row r="60" spans="1:26" s="24" customFormat="1" ht="18" customHeight="1">
      <c r="A60" s="51">
        <f t="shared" si="21"/>
        <v>38</v>
      </c>
      <c r="B60" s="208" t="s">
        <v>366</v>
      </c>
      <c r="C60" s="209">
        <v>1967</v>
      </c>
      <c r="D60" s="210">
        <v>4866.8</v>
      </c>
      <c r="E60" s="210">
        <v>3882.2</v>
      </c>
      <c r="F60" s="54">
        <f t="shared" si="20"/>
        <v>8230380.4700000007</v>
      </c>
      <c r="G60" s="249">
        <f>ROUND((151+518.04+215+321.45)*E60,2)-R60</f>
        <v>4579953.28</v>
      </c>
      <c r="H60" s="53">
        <f t="shared" si="23"/>
        <v>1179.7314100252436</v>
      </c>
      <c r="I60" s="53">
        <v>0</v>
      </c>
      <c r="J60" s="250">
        <f>ROUND(914.54*E60,2)</f>
        <v>3550427.19</v>
      </c>
      <c r="K60" s="53">
        <f t="shared" si="22"/>
        <v>914.54000051517187</v>
      </c>
      <c r="L60" s="53">
        <v>0</v>
      </c>
      <c r="M60" s="53"/>
      <c r="N60" s="53">
        <v>0</v>
      </c>
      <c r="O60" s="53"/>
      <c r="P60" s="53">
        <v>0</v>
      </c>
      <c r="Q60" s="53"/>
      <c r="R60" s="250">
        <v>100000</v>
      </c>
      <c r="S60" s="53">
        <v>0</v>
      </c>
      <c r="T60" s="53">
        <v>0</v>
      </c>
      <c r="U60" s="53">
        <v>0</v>
      </c>
      <c r="V60" s="111">
        <f t="shared" si="19"/>
        <v>8230380.4700000007</v>
      </c>
      <c r="W60" s="71">
        <v>2017</v>
      </c>
      <c r="X60" s="71">
        <v>2017</v>
      </c>
      <c r="Y60" s="212" t="s">
        <v>307</v>
      </c>
      <c r="Z60" s="209">
        <v>5</v>
      </c>
    </row>
    <row r="61" spans="1:26" s="24" customFormat="1" ht="18" customHeight="1">
      <c r="A61" s="51">
        <f t="shared" si="21"/>
        <v>39</v>
      </c>
      <c r="B61" s="208" t="s">
        <v>367</v>
      </c>
      <c r="C61" s="209">
        <v>1970</v>
      </c>
      <c r="D61" s="210">
        <v>2055</v>
      </c>
      <c r="E61" s="210">
        <v>1592.6</v>
      </c>
      <c r="F61" s="54">
        <f t="shared" si="20"/>
        <v>2864418.5</v>
      </c>
      <c r="G61" s="249">
        <f>ROUND((151+518.04+215)*E61,2)-R61</f>
        <v>1307922.1000000001</v>
      </c>
      <c r="H61" s="53">
        <f t="shared" si="23"/>
        <v>821.24959186236356</v>
      </c>
      <c r="I61" s="53">
        <v>0</v>
      </c>
      <c r="J61" s="250">
        <f>ROUND(914.54*E61,2)</f>
        <v>1456496.4</v>
      </c>
      <c r="K61" s="53">
        <f t="shared" si="22"/>
        <v>914.53999748838373</v>
      </c>
      <c r="L61" s="53">
        <v>0</v>
      </c>
      <c r="M61" s="53"/>
      <c r="N61" s="53">
        <v>0</v>
      </c>
      <c r="O61" s="53"/>
      <c r="P61" s="53">
        <v>0</v>
      </c>
      <c r="Q61" s="53"/>
      <c r="R61" s="250">
        <v>100000</v>
      </c>
      <c r="S61" s="53">
        <v>0</v>
      </c>
      <c r="T61" s="53">
        <v>0</v>
      </c>
      <c r="U61" s="53">
        <v>0</v>
      </c>
      <c r="V61" s="111">
        <f t="shared" si="19"/>
        <v>2864418.5</v>
      </c>
      <c r="W61" s="71">
        <v>2017</v>
      </c>
      <c r="X61" s="71">
        <v>2017</v>
      </c>
      <c r="Y61" s="212" t="s">
        <v>307</v>
      </c>
      <c r="Z61" s="209">
        <v>5</v>
      </c>
    </row>
    <row r="62" spans="1:26" s="24" customFormat="1" ht="18" customHeight="1">
      <c r="A62" s="51">
        <f t="shared" si="21"/>
        <v>40</v>
      </c>
      <c r="B62" s="208" t="s">
        <v>442</v>
      </c>
      <c r="C62" s="209">
        <v>1968</v>
      </c>
      <c r="D62" s="210">
        <v>4360.6000000000004</v>
      </c>
      <c r="E62" s="210">
        <v>3372.7</v>
      </c>
      <c r="F62" s="54">
        <f t="shared" si="20"/>
        <v>9445920.8900000006</v>
      </c>
      <c r="G62" s="249">
        <f>ROUND((151+518.04+215+321.45)*E62,2)-R62</f>
        <v>3965756.12</v>
      </c>
      <c r="H62" s="53">
        <f t="shared" si="23"/>
        <v>1175.8401636670917</v>
      </c>
      <c r="I62" s="53">
        <v>0</v>
      </c>
      <c r="J62" s="250">
        <f>ROUND(1595.21*E62,2)</f>
        <v>5380164.7699999996</v>
      </c>
      <c r="K62" s="53">
        <f t="shared" si="22"/>
        <v>1595.2100008894949</v>
      </c>
      <c r="L62" s="53">
        <v>0</v>
      </c>
      <c r="M62" s="53"/>
      <c r="N62" s="53">
        <v>0</v>
      </c>
      <c r="O62" s="53"/>
      <c r="P62" s="53">
        <v>0</v>
      </c>
      <c r="Q62" s="53"/>
      <c r="R62" s="250">
        <v>100000</v>
      </c>
      <c r="S62" s="53">
        <v>0</v>
      </c>
      <c r="T62" s="53">
        <v>0</v>
      </c>
      <c r="U62" s="53">
        <v>0</v>
      </c>
      <c r="V62" s="111">
        <f t="shared" si="19"/>
        <v>9445920.8900000006</v>
      </c>
      <c r="W62" s="71">
        <v>2017</v>
      </c>
      <c r="X62" s="71">
        <v>2017</v>
      </c>
      <c r="Y62" s="212" t="s">
        <v>307</v>
      </c>
      <c r="Z62" s="209">
        <v>5</v>
      </c>
    </row>
    <row r="63" spans="1:26" s="24" customFormat="1" ht="18" customHeight="1">
      <c r="A63" s="51">
        <f t="shared" si="21"/>
        <v>41</v>
      </c>
      <c r="B63" s="208" t="s">
        <v>368</v>
      </c>
      <c r="C63" s="209">
        <v>1963</v>
      </c>
      <c r="D63" s="210">
        <v>3505.5</v>
      </c>
      <c r="E63" s="210">
        <v>3257.6</v>
      </c>
      <c r="F63" s="54">
        <f t="shared" si="20"/>
        <v>6906209.7200000007</v>
      </c>
      <c r="G63" s="249">
        <f>ROUND((151+518.04+215+321.45)*E63,2)-R63</f>
        <v>3827004.22</v>
      </c>
      <c r="H63" s="53">
        <f t="shared" si="23"/>
        <v>1174.7925527996072</v>
      </c>
      <c r="I63" s="53">
        <v>0</v>
      </c>
      <c r="J63" s="250">
        <f>ROUND(914.54*E63,2)</f>
        <v>2979205.5</v>
      </c>
      <c r="K63" s="53">
        <f t="shared" si="22"/>
        <v>914.53999877210219</v>
      </c>
      <c r="L63" s="53">
        <v>0</v>
      </c>
      <c r="M63" s="53"/>
      <c r="N63" s="53">
        <v>0</v>
      </c>
      <c r="O63" s="53"/>
      <c r="P63" s="53">
        <v>0</v>
      </c>
      <c r="Q63" s="53"/>
      <c r="R63" s="250">
        <v>100000</v>
      </c>
      <c r="S63" s="53">
        <v>0</v>
      </c>
      <c r="T63" s="53">
        <v>0</v>
      </c>
      <c r="U63" s="53">
        <v>0</v>
      </c>
      <c r="V63" s="111">
        <f t="shared" si="19"/>
        <v>6906209.7200000007</v>
      </c>
      <c r="W63" s="71">
        <v>2017</v>
      </c>
      <c r="X63" s="71">
        <v>2017</v>
      </c>
      <c r="Y63" s="212" t="s">
        <v>307</v>
      </c>
      <c r="Z63" s="209">
        <v>5</v>
      </c>
    </row>
    <row r="64" spans="1:26" ht="18" customHeight="1">
      <c r="A64" s="352" t="s">
        <v>280</v>
      </c>
      <c r="B64" s="353"/>
      <c r="C64" s="51"/>
      <c r="D64" s="113">
        <f>SUM(D51:D63)</f>
        <v>48341.4</v>
      </c>
      <c r="E64" s="113">
        <f>SUM(E51:E63)</f>
        <v>40135.699999999997</v>
      </c>
      <c r="F64" s="56">
        <f>SUM(F51:F63)</f>
        <v>70226203.920000002</v>
      </c>
      <c r="G64" s="50">
        <f>SUM(G51:G63)</f>
        <v>36259673.350000001</v>
      </c>
      <c r="H64" s="50"/>
      <c r="I64" s="50">
        <f>SUM(I51:I63)</f>
        <v>0</v>
      </c>
      <c r="J64" s="50">
        <f>SUM(J51:J63)</f>
        <v>29380413.300000001</v>
      </c>
      <c r="K64" s="50"/>
      <c r="L64" s="50">
        <f>SUM(L51:L63)</f>
        <v>0</v>
      </c>
      <c r="M64" s="50"/>
      <c r="N64" s="50">
        <f>SUM(N51:N63)</f>
        <v>3386117.27</v>
      </c>
      <c r="O64" s="50"/>
      <c r="P64" s="50">
        <f>SUM(P51:P63)</f>
        <v>0</v>
      </c>
      <c r="Q64" s="50"/>
      <c r="R64" s="50">
        <f>SUM(R51:R63)</f>
        <v>1200000</v>
      </c>
      <c r="S64" s="50">
        <f>SUM(S51:S63)</f>
        <v>0</v>
      </c>
      <c r="T64" s="50">
        <f>SUM(T51:T63)</f>
        <v>0</v>
      </c>
      <c r="U64" s="50">
        <f>SUM(U51:U63)</f>
        <v>0</v>
      </c>
      <c r="V64" s="113">
        <f>SUM(V51:V63)</f>
        <v>70226203.920000002</v>
      </c>
      <c r="W64" s="22" t="s">
        <v>117</v>
      </c>
      <c r="X64" s="22" t="s">
        <v>117</v>
      </c>
    </row>
    <row r="65" spans="1:27" ht="18" customHeight="1">
      <c r="A65" s="361" t="s">
        <v>31</v>
      </c>
      <c r="B65" s="362"/>
      <c r="C65" s="362"/>
      <c r="D65" s="362"/>
      <c r="E65" s="362"/>
      <c r="F65" s="362"/>
      <c r="G65" s="362"/>
      <c r="H65" s="362"/>
      <c r="I65" s="362"/>
      <c r="J65" s="362"/>
      <c r="K65" s="362"/>
      <c r="L65" s="362"/>
      <c r="M65" s="362"/>
      <c r="N65" s="362"/>
      <c r="O65" s="362"/>
      <c r="P65" s="362"/>
      <c r="Q65" s="362"/>
      <c r="R65" s="362"/>
      <c r="S65" s="362"/>
      <c r="T65" s="362"/>
      <c r="U65" s="362"/>
      <c r="V65" s="363"/>
      <c r="W65" s="29"/>
      <c r="X65" s="29"/>
    </row>
    <row r="66" spans="1:27" s="24" customFormat="1" ht="18" customHeight="1">
      <c r="A66" s="71">
        <f>A63+1</f>
        <v>42</v>
      </c>
      <c r="B66" s="37" t="s">
        <v>176</v>
      </c>
      <c r="C66" s="40" t="s">
        <v>70</v>
      </c>
      <c r="D66" s="111">
        <v>3876.2</v>
      </c>
      <c r="E66" s="280">
        <v>3876.2</v>
      </c>
      <c r="F66" s="54">
        <f t="shared" ref="F66:F97" si="24">G66+I66+J66+L66+N66+P66+R66</f>
        <v>3413924.39</v>
      </c>
      <c r="G66" s="54">
        <f>ROUND((107.99+169.07+134.5+469.18)*E66,2)</f>
        <v>3413924.39</v>
      </c>
      <c r="H66" s="54">
        <f t="shared" ref="H66:H97" si="25">G66/E66</f>
        <v>880.74000051596931</v>
      </c>
      <c r="I66" s="54">
        <v>0</v>
      </c>
      <c r="J66" s="54">
        <v>0</v>
      </c>
      <c r="K66" s="53">
        <f t="shared" ref="K66:K102" si="26">J66/E66</f>
        <v>0</v>
      </c>
      <c r="L66" s="54">
        <v>0</v>
      </c>
      <c r="M66" s="54"/>
      <c r="N66" s="54">
        <v>0</v>
      </c>
      <c r="O66" s="53">
        <f t="shared" ref="O66:O97" si="27">N66/E66</f>
        <v>0</v>
      </c>
      <c r="P66" s="54">
        <v>0</v>
      </c>
      <c r="Q66" s="54"/>
      <c r="R66" s="54">
        <v>0</v>
      </c>
      <c r="S66" s="54">
        <v>0</v>
      </c>
      <c r="T66" s="54">
        <v>0</v>
      </c>
      <c r="U66" s="54">
        <v>0</v>
      </c>
      <c r="V66" s="111">
        <f t="shared" ref="V66:V97" si="28">F66</f>
        <v>3413924.39</v>
      </c>
      <c r="W66" s="71">
        <v>2017</v>
      </c>
      <c r="X66" s="71">
        <v>2017</v>
      </c>
      <c r="Y66" s="281" t="s">
        <v>154</v>
      </c>
      <c r="Z66" s="282">
        <v>9</v>
      </c>
      <c r="AA66" s="283" t="s">
        <v>169</v>
      </c>
    </row>
    <row r="67" spans="1:27" s="24" customFormat="1" ht="18" customHeight="1">
      <c r="A67" s="71">
        <f t="shared" ref="A67:A76" si="29">A66+1</f>
        <v>43</v>
      </c>
      <c r="B67" s="37" t="s">
        <v>45</v>
      </c>
      <c r="C67" s="40" t="s">
        <v>92</v>
      </c>
      <c r="D67" s="111">
        <v>3705.2</v>
      </c>
      <c r="E67" s="280">
        <v>3387.4</v>
      </c>
      <c r="F67" s="54">
        <f t="shared" si="24"/>
        <v>3868072.06</v>
      </c>
      <c r="G67" s="54">
        <f>ROUND((145.42+205.56+295.63+495.29)*E67,2)</f>
        <v>3868072.06</v>
      </c>
      <c r="H67" s="54">
        <f t="shared" si="25"/>
        <v>1141.9000000000001</v>
      </c>
      <c r="I67" s="54">
        <v>0</v>
      </c>
      <c r="J67" s="54">
        <v>0</v>
      </c>
      <c r="K67" s="53">
        <f t="shared" si="26"/>
        <v>0</v>
      </c>
      <c r="L67" s="54">
        <v>0</v>
      </c>
      <c r="M67" s="54"/>
      <c r="N67" s="54">
        <v>0</v>
      </c>
      <c r="O67" s="53">
        <f t="shared" si="27"/>
        <v>0</v>
      </c>
      <c r="P67" s="54">
        <v>0</v>
      </c>
      <c r="Q67" s="54"/>
      <c r="R67" s="54">
        <v>0</v>
      </c>
      <c r="S67" s="54">
        <v>0</v>
      </c>
      <c r="T67" s="54">
        <v>0</v>
      </c>
      <c r="U67" s="54">
        <v>0</v>
      </c>
      <c r="V67" s="111">
        <f t="shared" si="28"/>
        <v>3868072.06</v>
      </c>
      <c r="W67" s="71">
        <v>2017</v>
      </c>
      <c r="X67" s="71">
        <v>2017</v>
      </c>
      <c r="Y67" s="281" t="s">
        <v>154</v>
      </c>
      <c r="Z67" s="282">
        <v>5</v>
      </c>
      <c r="AA67" s="283" t="s">
        <v>170</v>
      </c>
    </row>
    <row r="68" spans="1:27" s="24" customFormat="1" ht="18" customHeight="1">
      <c r="A68" s="71">
        <f t="shared" si="29"/>
        <v>44</v>
      </c>
      <c r="B68" s="284" t="s">
        <v>178</v>
      </c>
      <c r="C68" s="40" t="s">
        <v>92</v>
      </c>
      <c r="D68" s="111">
        <v>3752.8</v>
      </c>
      <c r="E68" s="280">
        <v>3736.3</v>
      </c>
      <c r="F68" s="54">
        <f t="shared" si="24"/>
        <v>4504072.29</v>
      </c>
      <c r="G68" s="54">
        <f>ROUND((151+215+321.45+518.04)*E68,2)</f>
        <v>4504072.29</v>
      </c>
      <c r="H68" s="54">
        <f t="shared" si="25"/>
        <v>1205.4900008029333</v>
      </c>
      <c r="I68" s="54">
        <v>0</v>
      </c>
      <c r="J68" s="54">
        <v>0</v>
      </c>
      <c r="K68" s="53">
        <f t="shared" si="26"/>
        <v>0</v>
      </c>
      <c r="L68" s="54">
        <v>0</v>
      </c>
      <c r="M68" s="54"/>
      <c r="N68" s="54">
        <v>0</v>
      </c>
      <c r="O68" s="53">
        <f t="shared" si="27"/>
        <v>0</v>
      </c>
      <c r="P68" s="54">
        <v>0</v>
      </c>
      <c r="Q68" s="54"/>
      <c r="R68" s="54">
        <v>0</v>
      </c>
      <c r="S68" s="54">
        <v>0</v>
      </c>
      <c r="T68" s="54">
        <v>0</v>
      </c>
      <c r="U68" s="54">
        <v>0</v>
      </c>
      <c r="V68" s="111">
        <f t="shared" si="28"/>
        <v>4504072.29</v>
      </c>
      <c r="W68" s="71">
        <v>2017</v>
      </c>
      <c r="X68" s="71">
        <v>2017</v>
      </c>
      <c r="Y68" s="281" t="s">
        <v>155</v>
      </c>
      <c r="Z68" s="282">
        <v>5</v>
      </c>
      <c r="AA68" s="283" t="s">
        <v>169</v>
      </c>
    </row>
    <row r="69" spans="1:27" s="24" customFormat="1" ht="18" customHeight="1">
      <c r="A69" s="71">
        <f t="shared" si="29"/>
        <v>45</v>
      </c>
      <c r="B69" s="284" t="s">
        <v>108</v>
      </c>
      <c r="C69" s="40" t="s">
        <v>475</v>
      </c>
      <c r="D69" s="111">
        <v>3456.9</v>
      </c>
      <c r="E69" s="280">
        <v>3412.6</v>
      </c>
      <c r="F69" s="54">
        <f t="shared" si="24"/>
        <v>3380146.17</v>
      </c>
      <c r="G69" s="54">
        <f>ROUND((151+321.45+518.04)*E69,2)</f>
        <v>3380146.17</v>
      </c>
      <c r="H69" s="54">
        <f t="shared" si="25"/>
        <v>990.48999882787314</v>
      </c>
      <c r="I69" s="54">
        <v>0</v>
      </c>
      <c r="J69" s="54">
        <v>0</v>
      </c>
      <c r="K69" s="53">
        <f t="shared" si="26"/>
        <v>0</v>
      </c>
      <c r="L69" s="54">
        <v>0</v>
      </c>
      <c r="M69" s="54"/>
      <c r="N69" s="54">
        <v>0</v>
      </c>
      <c r="O69" s="53">
        <f t="shared" si="27"/>
        <v>0</v>
      </c>
      <c r="P69" s="54">
        <v>0</v>
      </c>
      <c r="Q69" s="54"/>
      <c r="R69" s="54">
        <v>0</v>
      </c>
      <c r="S69" s="54">
        <v>0</v>
      </c>
      <c r="T69" s="54">
        <v>0</v>
      </c>
      <c r="U69" s="54">
        <v>0</v>
      </c>
      <c r="V69" s="111">
        <f t="shared" si="28"/>
        <v>3380146.17</v>
      </c>
      <c r="W69" s="71">
        <v>2017</v>
      </c>
      <c r="X69" s="71">
        <v>2017</v>
      </c>
      <c r="Y69" s="281" t="s">
        <v>155</v>
      </c>
      <c r="Z69" s="282">
        <v>5</v>
      </c>
      <c r="AA69" s="283" t="s">
        <v>169</v>
      </c>
    </row>
    <row r="70" spans="1:27" s="24" customFormat="1" ht="18" customHeight="1">
      <c r="A70" s="71">
        <f t="shared" si="29"/>
        <v>46</v>
      </c>
      <c r="B70" s="37" t="s">
        <v>46</v>
      </c>
      <c r="C70" s="40" t="s">
        <v>475</v>
      </c>
      <c r="D70" s="111">
        <v>2849.7</v>
      </c>
      <c r="E70" s="280">
        <v>2400.1</v>
      </c>
      <c r="F70" s="54">
        <f t="shared" si="24"/>
        <v>2117128.21</v>
      </c>
      <c r="G70" s="54">
        <v>0</v>
      </c>
      <c r="H70" s="54">
        <f t="shared" si="25"/>
        <v>0</v>
      </c>
      <c r="I70" s="54">
        <v>0</v>
      </c>
      <c r="J70" s="54">
        <v>0</v>
      </c>
      <c r="K70" s="53">
        <f t="shared" si="26"/>
        <v>0</v>
      </c>
      <c r="L70" s="54">
        <v>0</v>
      </c>
      <c r="M70" s="54"/>
      <c r="N70" s="53">
        <f>ROUND(882.1*E70,2)</f>
        <v>2117128.21</v>
      </c>
      <c r="O70" s="53">
        <f t="shared" si="27"/>
        <v>882.1</v>
      </c>
      <c r="P70" s="54">
        <v>0</v>
      </c>
      <c r="Q70" s="54"/>
      <c r="R70" s="54">
        <v>0</v>
      </c>
      <c r="S70" s="54">
        <v>0</v>
      </c>
      <c r="T70" s="54">
        <v>0</v>
      </c>
      <c r="U70" s="54">
        <v>0</v>
      </c>
      <c r="V70" s="111">
        <f t="shared" si="28"/>
        <v>2117128.21</v>
      </c>
      <c r="W70" s="71">
        <v>2017</v>
      </c>
      <c r="X70" s="71">
        <v>2017</v>
      </c>
      <c r="Y70" s="281" t="s">
        <v>155</v>
      </c>
      <c r="Z70" s="282">
        <v>5</v>
      </c>
      <c r="AA70" s="285" t="s">
        <v>169</v>
      </c>
    </row>
    <row r="71" spans="1:27" s="24" customFormat="1" ht="18" customHeight="1">
      <c r="A71" s="71">
        <f t="shared" si="29"/>
        <v>47</v>
      </c>
      <c r="B71" s="284" t="s">
        <v>177</v>
      </c>
      <c r="C71" s="40" t="s">
        <v>476</v>
      </c>
      <c r="D71" s="111">
        <v>4405.8</v>
      </c>
      <c r="E71" s="280">
        <v>4345.2</v>
      </c>
      <c r="F71" s="54">
        <f t="shared" si="24"/>
        <v>4961783.88</v>
      </c>
      <c r="G71" s="54">
        <f>ROUND((145.42+205.56+295.63+495.29)*E71,2)</f>
        <v>4961783.88</v>
      </c>
      <c r="H71" s="54">
        <f t="shared" si="25"/>
        <v>1141.9000000000001</v>
      </c>
      <c r="I71" s="54">
        <v>0</v>
      </c>
      <c r="J71" s="54">
        <v>0</v>
      </c>
      <c r="K71" s="53">
        <f t="shared" si="26"/>
        <v>0</v>
      </c>
      <c r="L71" s="54">
        <v>0</v>
      </c>
      <c r="M71" s="54"/>
      <c r="N71" s="54">
        <v>0</v>
      </c>
      <c r="O71" s="53">
        <f t="shared" si="27"/>
        <v>0</v>
      </c>
      <c r="P71" s="54">
        <v>0</v>
      </c>
      <c r="Q71" s="54"/>
      <c r="R71" s="54">
        <v>0</v>
      </c>
      <c r="S71" s="54">
        <v>0</v>
      </c>
      <c r="T71" s="54">
        <v>0</v>
      </c>
      <c r="U71" s="54">
        <v>0</v>
      </c>
      <c r="V71" s="111">
        <f t="shared" si="28"/>
        <v>4961783.88</v>
      </c>
      <c r="W71" s="71">
        <v>2017</v>
      </c>
      <c r="X71" s="71">
        <v>2017</v>
      </c>
      <c r="Y71" s="281" t="s">
        <v>154</v>
      </c>
      <c r="Z71" s="282">
        <v>5</v>
      </c>
      <c r="AA71" s="283" t="s">
        <v>169</v>
      </c>
    </row>
    <row r="72" spans="1:27" s="24" customFormat="1" ht="18" customHeight="1">
      <c r="A72" s="71">
        <f t="shared" si="29"/>
        <v>48</v>
      </c>
      <c r="B72" s="37" t="s">
        <v>179</v>
      </c>
      <c r="C72" s="40" t="s">
        <v>476</v>
      </c>
      <c r="D72" s="111">
        <v>4481.3</v>
      </c>
      <c r="E72" s="280">
        <v>4420</v>
      </c>
      <c r="F72" s="54">
        <f t="shared" si="24"/>
        <v>7230439.3200000003</v>
      </c>
      <c r="G72" s="54">
        <f>ROUND((145.42+205.546+295.63+495.29+493.96)*E72,2)</f>
        <v>7230439.3200000003</v>
      </c>
      <c r="H72" s="54">
        <f t="shared" si="25"/>
        <v>1635.846</v>
      </c>
      <c r="I72" s="54">
        <v>0</v>
      </c>
      <c r="J72" s="54">
        <v>0</v>
      </c>
      <c r="K72" s="53">
        <f t="shared" si="26"/>
        <v>0</v>
      </c>
      <c r="L72" s="54">
        <v>0</v>
      </c>
      <c r="M72" s="54"/>
      <c r="N72" s="54">
        <v>0</v>
      </c>
      <c r="O72" s="53">
        <f t="shared" si="27"/>
        <v>0</v>
      </c>
      <c r="P72" s="54">
        <v>0</v>
      </c>
      <c r="Q72" s="54"/>
      <c r="R72" s="54">
        <v>0</v>
      </c>
      <c r="S72" s="54">
        <v>0</v>
      </c>
      <c r="T72" s="54">
        <v>0</v>
      </c>
      <c r="U72" s="54">
        <v>0</v>
      </c>
      <c r="V72" s="111">
        <f t="shared" si="28"/>
        <v>7230439.3200000003</v>
      </c>
      <c r="W72" s="71">
        <v>2017</v>
      </c>
      <c r="X72" s="71">
        <v>2017</v>
      </c>
      <c r="Y72" s="281" t="s">
        <v>154</v>
      </c>
      <c r="Z72" s="282">
        <v>5</v>
      </c>
      <c r="AA72" s="283" t="s">
        <v>169</v>
      </c>
    </row>
    <row r="73" spans="1:27" s="24" customFormat="1" ht="18" customHeight="1">
      <c r="A73" s="71">
        <f t="shared" si="29"/>
        <v>49</v>
      </c>
      <c r="B73" s="37" t="s">
        <v>267</v>
      </c>
      <c r="C73" s="51" t="s">
        <v>57</v>
      </c>
      <c r="D73" s="111">
        <v>3903.4</v>
      </c>
      <c r="E73" s="280">
        <v>3864</v>
      </c>
      <c r="F73" s="54">
        <f t="shared" si="24"/>
        <v>8043161.8799999999</v>
      </c>
      <c r="G73" s="54">
        <v>0</v>
      </c>
      <c r="H73" s="54">
        <f t="shared" si="25"/>
        <v>0</v>
      </c>
      <c r="I73" s="286">
        <f>4021580.94*2</f>
        <v>8043161.8799999999</v>
      </c>
      <c r="J73" s="54">
        <v>0</v>
      </c>
      <c r="K73" s="53">
        <f t="shared" si="26"/>
        <v>0</v>
      </c>
      <c r="L73" s="53">
        <v>0</v>
      </c>
      <c r="M73" s="53"/>
      <c r="N73" s="54">
        <v>0</v>
      </c>
      <c r="O73" s="53">
        <f t="shared" si="27"/>
        <v>0</v>
      </c>
      <c r="P73" s="54">
        <v>0</v>
      </c>
      <c r="Q73" s="53"/>
      <c r="R73" s="54">
        <v>0</v>
      </c>
      <c r="S73" s="54">
        <v>0</v>
      </c>
      <c r="T73" s="54">
        <v>0</v>
      </c>
      <c r="U73" s="54">
        <v>0</v>
      </c>
      <c r="V73" s="111">
        <f t="shared" si="28"/>
        <v>8043161.8799999999</v>
      </c>
      <c r="W73" s="71">
        <v>2017</v>
      </c>
      <c r="X73" s="71">
        <v>2017</v>
      </c>
      <c r="Y73" s="281" t="s">
        <v>154</v>
      </c>
      <c r="Z73" s="282">
        <v>9</v>
      </c>
      <c r="AA73" s="283" t="s">
        <v>169</v>
      </c>
    </row>
    <row r="74" spans="1:27" s="24" customFormat="1" ht="18" customHeight="1">
      <c r="A74" s="71">
        <f t="shared" si="29"/>
        <v>50</v>
      </c>
      <c r="B74" s="37" t="s">
        <v>465</v>
      </c>
      <c r="C74" s="51" t="s">
        <v>475</v>
      </c>
      <c r="D74" s="111">
        <v>3915.3</v>
      </c>
      <c r="E74" s="280">
        <v>3897.8</v>
      </c>
      <c r="F74" s="54">
        <f t="shared" si="24"/>
        <v>8043161.8799999999</v>
      </c>
      <c r="G74" s="54">
        <v>0</v>
      </c>
      <c r="H74" s="54">
        <f t="shared" si="25"/>
        <v>0</v>
      </c>
      <c r="I74" s="286">
        <f>4021580.94*2</f>
        <v>8043161.8799999999</v>
      </c>
      <c r="J74" s="54">
        <v>0</v>
      </c>
      <c r="K74" s="53">
        <f t="shared" si="26"/>
        <v>0</v>
      </c>
      <c r="L74" s="53">
        <v>0</v>
      </c>
      <c r="M74" s="53"/>
      <c r="N74" s="54">
        <v>0</v>
      </c>
      <c r="O74" s="53">
        <f t="shared" si="27"/>
        <v>0</v>
      </c>
      <c r="P74" s="54">
        <v>0</v>
      </c>
      <c r="Q74" s="53"/>
      <c r="R74" s="54">
        <v>0</v>
      </c>
      <c r="S74" s="54">
        <v>0</v>
      </c>
      <c r="T74" s="54">
        <v>0</v>
      </c>
      <c r="U74" s="54">
        <v>0</v>
      </c>
      <c r="V74" s="111">
        <f t="shared" si="28"/>
        <v>8043161.8799999999</v>
      </c>
      <c r="W74" s="71">
        <v>2017</v>
      </c>
      <c r="X74" s="71">
        <v>2017</v>
      </c>
      <c r="Y74" s="281" t="s">
        <v>154</v>
      </c>
      <c r="Z74" s="282">
        <v>9</v>
      </c>
      <c r="AA74" s="283" t="s">
        <v>169</v>
      </c>
    </row>
    <row r="75" spans="1:27" s="24" customFormat="1" ht="18" customHeight="1">
      <c r="A75" s="71">
        <f t="shared" si="29"/>
        <v>51</v>
      </c>
      <c r="B75" s="37" t="s">
        <v>448</v>
      </c>
      <c r="C75" s="51" t="s">
        <v>22</v>
      </c>
      <c r="D75" s="111">
        <v>3913.9</v>
      </c>
      <c r="E75" s="280">
        <v>3867.3</v>
      </c>
      <c r="F75" s="54">
        <f t="shared" si="24"/>
        <v>10399817.15</v>
      </c>
      <c r="G75" s="54">
        <v>0</v>
      </c>
      <c r="H75" s="54">
        <f t="shared" si="25"/>
        <v>0</v>
      </c>
      <c r="I75" s="286">
        <f>4021580.94*2</f>
        <v>8043161.8799999999</v>
      </c>
      <c r="J75" s="53">
        <f>ROUND(609.38*E75,2)</f>
        <v>2356655.27</v>
      </c>
      <c r="K75" s="53">
        <f t="shared" si="26"/>
        <v>609.37999896568658</v>
      </c>
      <c r="L75" s="53">
        <v>0</v>
      </c>
      <c r="M75" s="53"/>
      <c r="N75" s="54">
        <v>0</v>
      </c>
      <c r="O75" s="53">
        <f t="shared" si="27"/>
        <v>0</v>
      </c>
      <c r="P75" s="54">
        <v>0</v>
      </c>
      <c r="Q75" s="53"/>
      <c r="R75" s="54">
        <v>0</v>
      </c>
      <c r="S75" s="54">
        <v>0</v>
      </c>
      <c r="T75" s="54">
        <v>0</v>
      </c>
      <c r="U75" s="54">
        <v>0</v>
      </c>
      <c r="V75" s="111">
        <f t="shared" si="28"/>
        <v>10399817.15</v>
      </c>
      <c r="W75" s="71">
        <v>2017</v>
      </c>
      <c r="X75" s="71">
        <v>2017</v>
      </c>
      <c r="Y75" s="281" t="s">
        <v>154</v>
      </c>
      <c r="Z75" s="282">
        <v>9</v>
      </c>
      <c r="AA75" s="283" t="s">
        <v>169</v>
      </c>
    </row>
    <row r="76" spans="1:27" s="24" customFormat="1" ht="18" customHeight="1">
      <c r="A76" s="71">
        <f t="shared" si="29"/>
        <v>52</v>
      </c>
      <c r="B76" s="37" t="s">
        <v>174</v>
      </c>
      <c r="C76" s="40" t="s">
        <v>83</v>
      </c>
      <c r="D76" s="111">
        <v>1552.9</v>
      </c>
      <c r="E76" s="280">
        <v>1396.3</v>
      </c>
      <c r="F76" s="54">
        <f t="shared" si="24"/>
        <v>300204.5</v>
      </c>
      <c r="G76" s="54">
        <f>ROUND(215*E76,2)</f>
        <v>300204.5</v>
      </c>
      <c r="H76" s="54">
        <f t="shared" si="25"/>
        <v>215</v>
      </c>
      <c r="I76" s="54">
        <v>0</v>
      </c>
      <c r="J76" s="54">
        <v>0</v>
      </c>
      <c r="K76" s="53">
        <f t="shared" si="26"/>
        <v>0</v>
      </c>
      <c r="L76" s="54">
        <v>0</v>
      </c>
      <c r="M76" s="54"/>
      <c r="N76" s="54">
        <v>0</v>
      </c>
      <c r="O76" s="53">
        <f t="shared" si="27"/>
        <v>0</v>
      </c>
      <c r="P76" s="54">
        <v>0</v>
      </c>
      <c r="Q76" s="54"/>
      <c r="R76" s="54">
        <v>0</v>
      </c>
      <c r="S76" s="54">
        <v>0</v>
      </c>
      <c r="T76" s="54">
        <v>0</v>
      </c>
      <c r="U76" s="54">
        <v>0</v>
      </c>
      <c r="V76" s="111">
        <f t="shared" si="28"/>
        <v>300204.5</v>
      </c>
      <c r="W76" s="71">
        <v>2017</v>
      </c>
      <c r="X76" s="71">
        <v>2017</v>
      </c>
      <c r="Y76" s="281" t="s">
        <v>155</v>
      </c>
      <c r="Z76" s="282">
        <v>3</v>
      </c>
      <c r="AA76" s="283" t="s">
        <v>169</v>
      </c>
    </row>
    <row r="77" spans="1:27" s="24" customFormat="1" ht="18" customHeight="1">
      <c r="A77" s="71">
        <f t="shared" ref="A77:A126" si="30">A76+1</f>
        <v>53</v>
      </c>
      <c r="B77" s="37" t="s">
        <v>260</v>
      </c>
      <c r="C77" s="51" t="s">
        <v>57</v>
      </c>
      <c r="D77" s="111">
        <v>4169</v>
      </c>
      <c r="E77" s="280">
        <v>3839.3</v>
      </c>
      <c r="F77" s="54">
        <f t="shared" si="24"/>
        <v>5088305.82</v>
      </c>
      <c r="G77" s="54">
        <v>0</v>
      </c>
      <c r="H77" s="54">
        <f t="shared" si="25"/>
        <v>0</v>
      </c>
      <c r="I77" s="286">
        <f>2544152.91*2</f>
        <v>5088305.82</v>
      </c>
      <c r="J77" s="54">
        <v>0</v>
      </c>
      <c r="K77" s="53">
        <f t="shared" si="26"/>
        <v>0</v>
      </c>
      <c r="L77" s="53">
        <v>0</v>
      </c>
      <c r="M77" s="53"/>
      <c r="N77" s="54">
        <v>0</v>
      </c>
      <c r="O77" s="53">
        <f t="shared" si="27"/>
        <v>0</v>
      </c>
      <c r="P77" s="54">
        <v>0</v>
      </c>
      <c r="Q77" s="53"/>
      <c r="R77" s="54">
        <v>0</v>
      </c>
      <c r="S77" s="54">
        <v>0</v>
      </c>
      <c r="T77" s="54">
        <v>0</v>
      </c>
      <c r="U77" s="54">
        <v>0</v>
      </c>
      <c r="V77" s="111">
        <f t="shared" si="28"/>
        <v>5088305.82</v>
      </c>
      <c r="W77" s="71">
        <v>2017</v>
      </c>
      <c r="X77" s="71">
        <v>2017</v>
      </c>
      <c r="Y77" s="281" t="s">
        <v>155</v>
      </c>
      <c r="Z77" s="282">
        <v>9</v>
      </c>
      <c r="AA77" s="283" t="s">
        <v>169</v>
      </c>
    </row>
    <row r="78" spans="1:27" s="24" customFormat="1" ht="18" customHeight="1">
      <c r="A78" s="71">
        <f t="shared" si="30"/>
        <v>54</v>
      </c>
      <c r="B78" s="37" t="s">
        <v>227</v>
      </c>
      <c r="C78" s="51" t="s">
        <v>477</v>
      </c>
      <c r="D78" s="111">
        <v>5762</v>
      </c>
      <c r="E78" s="280">
        <v>5742.7</v>
      </c>
      <c r="F78" s="54">
        <f t="shared" si="24"/>
        <v>1697714.4</v>
      </c>
      <c r="G78" s="54">
        <f>ROUND(295.63*E78,2)</f>
        <v>1697714.4</v>
      </c>
      <c r="H78" s="54">
        <f t="shared" si="25"/>
        <v>295.62999982586587</v>
      </c>
      <c r="I78" s="54">
        <v>0</v>
      </c>
      <c r="J78" s="54">
        <v>0</v>
      </c>
      <c r="K78" s="53">
        <f t="shared" si="26"/>
        <v>0</v>
      </c>
      <c r="L78" s="53">
        <v>0</v>
      </c>
      <c r="M78" s="53"/>
      <c r="N78" s="54">
        <v>0</v>
      </c>
      <c r="O78" s="53">
        <f t="shared" si="27"/>
        <v>0</v>
      </c>
      <c r="P78" s="54">
        <v>0</v>
      </c>
      <c r="Q78" s="53"/>
      <c r="R78" s="54">
        <v>0</v>
      </c>
      <c r="S78" s="54">
        <v>0</v>
      </c>
      <c r="T78" s="54">
        <v>0</v>
      </c>
      <c r="U78" s="54">
        <v>0</v>
      </c>
      <c r="V78" s="111">
        <f t="shared" si="28"/>
        <v>1697714.4</v>
      </c>
      <c r="W78" s="71">
        <v>2017</v>
      </c>
      <c r="X78" s="71">
        <v>2017</v>
      </c>
      <c r="Y78" s="281" t="s">
        <v>154</v>
      </c>
      <c r="Z78" s="282">
        <v>5</v>
      </c>
      <c r="AA78" s="283" t="s">
        <v>169</v>
      </c>
    </row>
    <row r="79" spans="1:27" s="24" customFormat="1" ht="18" customHeight="1">
      <c r="A79" s="71">
        <f t="shared" si="30"/>
        <v>55</v>
      </c>
      <c r="B79" s="37" t="s">
        <v>181</v>
      </c>
      <c r="C79" s="40" t="s">
        <v>96</v>
      </c>
      <c r="D79" s="111">
        <v>3184</v>
      </c>
      <c r="E79" s="280">
        <v>2389</v>
      </c>
      <c r="F79" s="54">
        <f t="shared" si="24"/>
        <v>513635</v>
      </c>
      <c r="G79" s="54">
        <f>ROUND(215*E79,2)</f>
        <v>513635</v>
      </c>
      <c r="H79" s="54">
        <f t="shared" si="25"/>
        <v>215</v>
      </c>
      <c r="I79" s="54">
        <v>0</v>
      </c>
      <c r="J79" s="54">
        <v>0</v>
      </c>
      <c r="K79" s="53">
        <f t="shared" si="26"/>
        <v>0</v>
      </c>
      <c r="L79" s="54">
        <v>0</v>
      </c>
      <c r="M79" s="54"/>
      <c r="N79" s="54">
        <v>0</v>
      </c>
      <c r="O79" s="53">
        <f t="shared" si="27"/>
        <v>0</v>
      </c>
      <c r="P79" s="54">
        <v>0</v>
      </c>
      <c r="Q79" s="54"/>
      <c r="R79" s="54">
        <v>0</v>
      </c>
      <c r="S79" s="54">
        <v>0</v>
      </c>
      <c r="T79" s="54">
        <v>0</v>
      </c>
      <c r="U79" s="54">
        <v>0</v>
      </c>
      <c r="V79" s="111">
        <f t="shared" si="28"/>
        <v>513635</v>
      </c>
      <c r="W79" s="71">
        <v>2017</v>
      </c>
      <c r="X79" s="71">
        <v>2017</v>
      </c>
      <c r="Y79" s="281" t="s">
        <v>155</v>
      </c>
      <c r="Z79" s="282">
        <v>5</v>
      </c>
      <c r="AA79" s="283" t="s">
        <v>169</v>
      </c>
    </row>
    <row r="80" spans="1:27" s="24" customFormat="1" ht="18" customHeight="1">
      <c r="A80" s="71">
        <f t="shared" si="30"/>
        <v>56</v>
      </c>
      <c r="B80" s="37" t="s">
        <v>125</v>
      </c>
      <c r="C80" s="51" t="s">
        <v>59</v>
      </c>
      <c r="D80" s="111">
        <v>9040.7999999999993</v>
      </c>
      <c r="E80" s="280">
        <v>6313.3</v>
      </c>
      <c r="F80" s="54">
        <f t="shared" si="24"/>
        <v>17809070.370000001</v>
      </c>
      <c r="G80" s="54">
        <v>0</v>
      </c>
      <c r="H80" s="54">
        <f t="shared" si="25"/>
        <v>0</v>
      </c>
      <c r="I80" s="286">
        <f>ROUND(2544152.91*7,2)</f>
        <v>17809070.370000001</v>
      </c>
      <c r="J80" s="54">
        <v>0</v>
      </c>
      <c r="K80" s="53">
        <f t="shared" si="26"/>
        <v>0</v>
      </c>
      <c r="L80" s="53">
        <v>0</v>
      </c>
      <c r="M80" s="53"/>
      <c r="N80" s="54">
        <v>0</v>
      </c>
      <c r="O80" s="53">
        <f t="shared" si="27"/>
        <v>0</v>
      </c>
      <c r="P80" s="54">
        <v>0</v>
      </c>
      <c r="Q80" s="53"/>
      <c r="R80" s="54">
        <v>0</v>
      </c>
      <c r="S80" s="54">
        <v>0</v>
      </c>
      <c r="T80" s="54">
        <v>0</v>
      </c>
      <c r="U80" s="54">
        <v>0</v>
      </c>
      <c r="V80" s="111">
        <f t="shared" si="28"/>
        <v>17809070.370000001</v>
      </c>
      <c r="W80" s="71">
        <v>2017</v>
      </c>
      <c r="X80" s="71">
        <v>2017</v>
      </c>
      <c r="Y80" s="281" t="s">
        <v>155</v>
      </c>
      <c r="Z80" s="282">
        <v>7</v>
      </c>
      <c r="AA80" s="283" t="s">
        <v>170</v>
      </c>
    </row>
    <row r="81" spans="1:27" s="24" customFormat="1" ht="18" customHeight="1">
      <c r="A81" s="71">
        <f t="shared" si="30"/>
        <v>57</v>
      </c>
      <c r="B81" s="37" t="s">
        <v>180</v>
      </c>
      <c r="C81" s="40" t="s">
        <v>73</v>
      </c>
      <c r="D81" s="111">
        <v>9119.2000000000007</v>
      </c>
      <c r="E81" s="280">
        <v>6550</v>
      </c>
      <c r="F81" s="54">
        <f t="shared" si="24"/>
        <v>4502797.5</v>
      </c>
      <c r="G81" s="54">
        <f>ROUND((151+215+321.45)*E81,2)</f>
        <v>4502797.5</v>
      </c>
      <c r="H81" s="54">
        <f t="shared" si="25"/>
        <v>687.45</v>
      </c>
      <c r="I81" s="54">
        <v>0</v>
      </c>
      <c r="J81" s="54">
        <v>0</v>
      </c>
      <c r="K81" s="53">
        <f t="shared" si="26"/>
        <v>0</v>
      </c>
      <c r="L81" s="54">
        <v>0</v>
      </c>
      <c r="M81" s="54"/>
      <c r="N81" s="54">
        <v>0</v>
      </c>
      <c r="O81" s="53">
        <f t="shared" si="27"/>
        <v>0</v>
      </c>
      <c r="P81" s="54">
        <v>0</v>
      </c>
      <c r="Q81" s="54"/>
      <c r="R81" s="54">
        <v>0</v>
      </c>
      <c r="S81" s="54">
        <v>0</v>
      </c>
      <c r="T81" s="54">
        <v>0</v>
      </c>
      <c r="U81" s="54">
        <v>0</v>
      </c>
      <c r="V81" s="111">
        <f t="shared" si="28"/>
        <v>4502797.5</v>
      </c>
      <c r="W81" s="71">
        <v>2017</v>
      </c>
      <c r="X81" s="71">
        <v>2017</v>
      </c>
      <c r="Y81" s="281" t="s">
        <v>155</v>
      </c>
      <c r="Z81" s="282">
        <v>6</v>
      </c>
      <c r="AA81" s="283" t="s">
        <v>170</v>
      </c>
    </row>
    <row r="82" spans="1:27" s="24" customFormat="1" ht="18" customHeight="1">
      <c r="A82" s="71">
        <f t="shared" si="30"/>
        <v>58</v>
      </c>
      <c r="B82" s="37" t="s">
        <v>109</v>
      </c>
      <c r="C82" s="51">
        <v>1938</v>
      </c>
      <c r="D82" s="60">
        <v>9703.7000000000007</v>
      </c>
      <c r="E82" s="287">
        <v>7774.5</v>
      </c>
      <c r="F82" s="54">
        <f t="shared" si="24"/>
        <v>3840292.02</v>
      </c>
      <c r="G82" s="54">
        <f>ROUND(493.96*E82,2)</f>
        <v>3840292.02</v>
      </c>
      <c r="H82" s="54">
        <f t="shared" si="25"/>
        <v>493.96</v>
      </c>
      <c r="I82" s="54">
        <v>0</v>
      </c>
      <c r="J82" s="54">
        <v>0</v>
      </c>
      <c r="K82" s="53">
        <f t="shared" si="26"/>
        <v>0</v>
      </c>
      <c r="L82" s="53">
        <v>0</v>
      </c>
      <c r="M82" s="53"/>
      <c r="N82" s="54">
        <v>0</v>
      </c>
      <c r="O82" s="53">
        <f t="shared" si="27"/>
        <v>0</v>
      </c>
      <c r="P82" s="54">
        <v>0</v>
      </c>
      <c r="Q82" s="53"/>
      <c r="R82" s="54">
        <v>0</v>
      </c>
      <c r="S82" s="54">
        <v>0</v>
      </c>
      <c r="T82" s="54">
        <v>0</v>
      </c>
      <c r="U82" s="54">
        <v>0</v>
      </c>
      <c r="V82" s="111">
        <f t="shared" si="28"/>
        <v>3840292.02</v>
      </c>
      <c r="W82" s="71">
        <v>2017</v>
      </c>
      <c r="X82" s="71">
        <v>2017</v>
      </c>
      <c r="Y82" s="288" t="s">
        <v>155</v>
      </c>
      <c r="Z82" s="289">
        <v>7</v>
      </c>
      <c r="AA82" s="290" t="s">
        <v>170</v>
      </c>
    </row>
    <row r="83" spans="1:27" s="24" customFormat="1" ht="18" customHeight="1">
      <c r="A83" s="71">
        <f t="shared" si="30"/>
        <v>59</v>
      </c>
      <c r="B83" s="37" t="s">
        <v>124</v>
      </c>
      <c r="C83" s="40" t="s">
        <v>60</v>
      </c>
      <c r="D83" s="111">
        <v>2419.1</v>
      </c>
      <c r="E83" s="280">
        <v>1553.4</v>
      </c>
      <c r="F83" s="54">
        <f t="shared" si="24"/>
        <v>3631507.45</v>
      </c>
      <c r="G83" s="54">
        <v>0</v>
      </c>
      <c r="H83" s="54">
        <f t="shared" si="25"/>
        <v>0</v>
      </c>
      <c r="I83" s="54">
        <v>0</v>
      </c>
      <c r="J83" s="54">
        <v>0</v>
      </c>
      <c r="K83" s="53">
        <f t="shared" si="26"/>
        <v>0</v>
      </c>
      <c r="L83" s="54">
        <v>0</v>
      </c>
      <c r="M83" s="54"/>
      <c r="N83" s="54">
        <f>ROUND(2337.78*E83,2)</f>
        <v>3631507.45</v>
      </c>
      <c r="O83" s="53">
        <f t="shared" si="27"/>
        <v>2337.7799987125018</v>
      </c>
      <c r="P83" s="54">
        <v>0</v>
      </c>
      <c r="Q83" s="54"/>
      <c r="R83" s="54">
        <v>0</v>
      </c>
      <c r="S83" s="54">
        <v>0</v>
      </c>
      <c r="T83" s="54">
        <v>0</v>
      </c>
      <c r="U83" s="54">
        <v>0</v>
      </c>
      <c r="V83" s="111">
        <f t="shared" si="28"/>
        <v>3631507.45</v>
      </c>
      <c r="W83" s="71">
        <v>2017</v>
      </c>
      <c r="X83" s="71">
        <v>2017</v>
      </c>
      <c r="Y83" s="281" t="s">
        <v>155</v>
      </c>
      <c r="Z83" s="282">
        <v>4</v>
      </c>
      <c r="AA83" s="283" t="s">
        <v>170</v>
      </c>
    </row>
    <row r="84" spans="1:27" s="24" customFormat="1" ht="18" customHeight="1">
      <c r="A84" s="71">
        <f t="shared" si="30"/>
        <v>60</v>
      </c>
      <c r="B84" s="37" t="s">
        <v>241</v>
      </c>
      <c r="C84" s="51" t="s">
        <v>97</v>
      </c>
      <c r="D84" s="111">
        <v>3952.3</v>
      </c>
      <c r="E84" s="291">
        <v>3917.41</v>
      </c>
      <c r="F84" s="54">
        <f t="shared" si="24"/>
        <v>2387191.31</v>
      </c>
      <c r="G84" s="54">
        <v>0</v>
      </c>
      <c r="H84" s="54">
        <f t="shared" si="25"/>
        <v>0</v>
      </c>
      <c r="I84" s="54">
        <v>0</v>
      </c>
      <c r="J84" s="53">
        <f>ROUND(609.38*E84,2)</f>
        <v>2387191.31</v>
      </c>
      <c r="K84" s="53">
        <f t="shared" si="26"/>
        <v>609.38000107213702</v>
      </c>
      <c r="L84" s="53">
        <v>0</v>
      </c>
      <c r="M84" s="53"/>
      <c r="N84" s="54">
        <v>0</v>
      </c>
      <c r="O84" s="53">
        <f t="shared" si="27"/>
        <v>0</v>
      </c>
      <c r="P84" s="54">
        <v>0</v>
      </c>
      <c r="Q84" s="53"/>
      <c r="R84" s="54">
        <v>0</v>
      </c>
      <c r="S84" s="54">
        <v>0</v>
      </c>
      <c r="T84" s="54">
        <v>0</v>
      </c>
      <c r="U84" s="54">
        <v>0</v>
      </c>
      <c r="V84" s="111">
        <f t="shared" si="28"/>
        <v>2387191.31</v>
      </c>
      <c r="W84" s="71">
        <v>2017</v>
      </c>
      <c r="X84" s="71">
        <v>2017</v>
      </c>
      <c r="Y84" s="281" t="s">
        <v>154</v>
      </c>
      <c r="Z84" s="282">
        <v>9</v>
      </c>
      <c r="AA84" s="283" t="s">
        <v>169</v>
      </c>
    </row>
    <row r="85" spans="1:27" s="24" customFormat="1" ht="18" customHeight="1">
      <c r="A85" s="71">
        <f t="shared" si="30"/>
        <v>61</v>
      </c>
      <c r="B85" s="37" t="s">
        <v>236</v>
      </c>
      <c r="C85" s="51" t="s">
        <v>101</v>
      </c>
      <c r="D85" s="111">
        <v>19088.400000000001</v>
      </c>
      <c r="E85" s="280">
        <v>16427.7</v>
      </c>
      <c r="F85" s="54">
        <f t="shared" si="24"/>
        <v>2777431.24</v>
      </c>
      <c r="G85" s="54">
        <f>ROUND(169.07*E85,2)</f>
        <v>2777431.24</v>
      </c>
      <c r="H85" s="54">
        <f t="shared" si="25"/>
        <v>169.07000006087279</v>
      </c>
      <c r="I85" s="54">
        <v>0</v>
      </c>
      <c r="J85" s="54">
        <v>0</v>
      </c>
      <c r="K85" s="53">
        <f t="shared" si="26"/>
        <v>0</v>
      </c>
      <c r="L85" s="53">
        <v>0</v>
      </c>
      <c r="M85" s="53"/>
      <c r="N85" s="54">
        <v>0</v>
      </c>
      <c r="O85" s="53">
        <f t="shared" si="27"/>
        <v>0</v>
      </c>
      <c r="P85" s="54">
        <v>0</v>
      </c>
      <c r="Q85" s="53"/>
      <c r="R85" s="54">
        <v>0</v>
      </c>
      <c r="S85" s="54">
        <v>0</v>
      </c>
      <c r="T85" s="54">
        <v>0</v>
      </c>
      <c r="U85" s="54">
        <v>0</v>
      </c>
      <c r="V85" s="111">
        <f t="shared" si="28"/>
        <v>2777431.24</v>
      </c>
      <c r="W85" s="71">
        <v>2017</v>
      </c>
      <c r="X85" s="71">
        <v>2017</v>
      </c>
      <c r="Y85" s="281" t="s">
        <v>154</v>
      </c>
      <c r="Z85" s="282">
        <v>9</v>
      </c>
      <c r="AA85" s="283" t="s">
        <v>169</v>
      </c>
    </row>
    <row r="86" spans="1:27" s="24" customFormat="1" ht="18" customHeight="1">
      <c r="A86" s="71">
        <f t="shared" si="30"/>
        <v>62</v>
      </c>
      <c r="B86" s="37" t="s">
        <v>186</v>
      </c>
      <c r="C86" s="40" t="s">
        <v>118</v>
      </c>
      <c r="D86" s="111">
        <v>5721.3</v>
      </c>
      <c r="E86" s="280">
        <v>5657.7</v>
      </c>
      <c r="F86" s="54">
        <f t="shared" si="24"/>
        <v>1419516.93</v>
      </c>
      <c r="G86" s="54">
        <f>ROUND(250.9*E86,2)</f>
        <v>1419516.93</v>
      </c>
      <c r="H86" s="54">
        <f t="shared" si="25"/>
        <v>250.9</v>
      </c>
      <c r="I86" s="54">
        <v>0</v>
      </c>
      <c r="J86" s="54">
        <v>0</v>
      </c>
      <c r="K86" s="53">
        <f t="shared" si="26"/>
        <v>0</v>
      </c>
      <c r="L86" s="54">
        <v>0</v>
      </c>
      <c r="M86" s="54"/>
      <c r="N86" s="54">
        <v>0</v>
      </c>
      <c r="O86" s="53">
        <f t="shared" si="27"/>
        <v>0</v>
      </c>
      <c r="P86" s="54">
        <v>0</v>
      </c>
      <c r="Q86" s="54"/>
      <c r="R86" s="54">
        <v>0</v>
      </c>
      <c r="S86" s="54">
        <v>0</v>
      </c>
      <c r="T86" s="54">
        <v>0</v>
      </c>
      <c r="U86" s="54">
        <v>0</v>
      </c>
      <c r="V86" s="111">
        <f t="shared" si="28"/>
        <v>1419516.93</v>
      </c>
      <c r="W86" s="71">
        <v>2017</v>
      </c>
      <c r="X86" s="71">
        <v>2017</v>
      </c>
      <c r="Y86" s="281" t="s">
        <v>155</v>
      </c>
      <c r="Z86" s="282">
        <v>9</v>
      </c>
      <c r="AA86" s="283" t="s">
        <v>169</v>
      </c>
    </row>
    <row r="87" spans="1:27" s="24" customFormat="1" ht="18" customHeight="1">
      <c r="A87" s="71">
        <f t="shared" si="30"/>
        <v>63</v>
      </c>
      <c r="B87" s="37" t="s">
        <v>261</v>
      </c>
      <c r="C87" s="51" t="s">
        <v>21</v>
      </c>
      <c r="D87" s="111">
        <v>4095.6</v>
      </c>
      <c r="E87" s="280">
        <v>3815.7</v>
      </c>
      <c r="F87" s="54">
        <f t="shared" si="24"/>
        <v>645120.4</v>
      </c>
      <c r="G87" s="54">
        <f>ROUND(169.07*E87,2)</f>
        <v>645120.4</v>
      </c>
      <c r="H87" s="54">
        <f t="shared" si="25"/>
        <v>169.07000026207513</v>
      </c>
      <c r="I87" s="54">
        <v>0</v>
      </c>
      <c r="J87" s="54">
        <v>0</v>
      </c>
      <c r="K87" s="53">
        <f t="shared" si="26"/>
        <v>0</v>
      </c>
      <c r="L87" s="53">
        <v>0</v>
      </c>
      <c r="M87" s="53"/>
      <c r="N87" s="54">
        <v>0</v>
      </c>
      <c r="O87" s="53">
        <f t="shared" si="27"/>
        <v>0</v>
      </c>
      <c r="P87" s="54">
        <v>0</v>
      </c>
      <c r="Q87" s="53"/>
      <c r="R87" s="54">
        <v>0</v>
      </c>
      <c r="S87" s="54">
        <v>0</v>
      </c>
      <c r="T87" s="54">
        <v>0</v>
      </c>
      <c r="U87" s="54">
        <v>0</v>
      </c>
      <c r="V87" s="111">
        <f t="shared" si="28"/>
        <v>645120.4</v>
      </c>
      <c r="W87" s="71">
        <v>2017</v>
      </c>
      <c r="X87" s="71">
        <v>2017</v>
      </c>
      <c r="Y87" s="281" t="s">
        <v>154</v>
      </c>
      <c r="Z87" s="282">
        <v>9</v>
      </c>
      <c r="AA87" s="283" t="s">
        <v>169</v>
      </c>
    </row>
    <row r="88" spans="1:27" s="24" customFormat="1" ht="18" customHeight="1">
      <c r="A88" s="71">
        <f t="shared" si="30"/>
        <v>64</v>
      </c>
      <c r="B88" s="37" t="s">
        <v>234</v>
      </c>
      <c r="C88" s="51" t="s">
        <v>58</v>
      </c>
      <c r="D88" s="111">
        <v>3584.3</v>
      </c>
      <c r="E88" s="280">
        <v>3514</v>
      </c>
      <c r="F88" s="54">
        <f t="shared" si="24"/>
        <v>1038843.82</v>
      </c>
      <c r="G88" s="54">
        <f>ROUND(295.63*E88,2)</f>
        <v>1038843.82</v>
      </c>
      <c r="H88" s="54">
        <f t="shared" si="25"/>
        <v>295.63</v>
      </c>
      <c r="I88" s="54">
        <v>0</v>
      </c>
      <c r="J88" s="54">
        <v>0</v>
      </c>
      <c r="K88" s="53">
        <f t="shared" si="26"/>
        <v>0</v>
      </c>
      <c r="L88" s="53">
        <v>0</v>
      </c>
      <c r="M88" s="53"/>
      <c r="N88" s="54">
        <v>0</v>
      </c>
      <c r="O88" s="53">
        <f t="shared" si="27"/>
        <v>0</v>
      </c>
      <c r="P88" s="54">
        <v>0</v>
      </c>
      <c r="Q88" s="53"/>
      <c r="R88" s="54">
        <v>0</v>
      </c>
      <c r="S88" s="54">
        <v>0</v>
      </c>
      <c r="T88" s="54">
        <v>0</v>
      </c>
      <c r="U88" s="54">
        <v>0</v>
      </c>
      <c r="V88" s="111">
        <f t="shared" si="28"/>
        <v>1038843.82</v>
      </c>
      <c r="W88" s="71">
        <v>2017</v>
      </c>
      <c r="X88" s="71">
        <v>2017</v>
      </c>
      <c r="Y88" s="281" t="s">
        <v>154</v>
      </c>
      <c r="Z88" s="282">
        <v>5</v>
      </c>
      <c r="AA88" s="283" t="s">
        <v>170</v>
      </c>
    </row>
    <row r="89" spans="1:27" s="24" customFormat="1" ht="18" customHeight="1">
      <c r="A89" s="71">
        <f t="shared" si="30"/>
        <v>65</v>
      </c>
      <c r="B89" s="37" t="s">
        <v>249</v>
      </c>
      <c r="C89" s="51" t="s">
        <v>478</v>
      </c>
      <c r="D89" s="111">
        <v>3323.1</v>
      </c>
      <c r="E89" s="280">
        <v>3289.2</v>
      </c>
      <c r="F89" s="54">
        <f t="shared" si="24"/>
        <v>676127.95</v>
      </c>
      <c r="G89" s="54">
        <f>ROUND(205.56*E89,2)</f>
        <v>676127.95</v>
      </c>
      <c r="H89" s="54">
        <f t="shared" si="25"/>
        <v>205.55999939194942</v>
      </c>
      <c r="I89" s="54">
        <v>0</v>
      </c>
      <c r="J89" s="54">
        <v>0</v>
      </c>
      <c r="K89" s="53">
        <f t="shared" si="26"/>
        <v>0</v>
      </c>
      <c r="L89" s="53">
        <v>0</v>
      </c>
      <c r="M89" s="53"/>
      <c r="N89" s="54">
        <v>0</v>
      </c>
      <c r="O89" s="53">
        <f t="shared" si="27"/>
        <v>0</v>
      </c>
      <c r="P89" s="54">
        <v>0</v>
      </c>
      <c r="Q89" s="53"/>
      <c r="R89" s="54">
        <v>0</v>
      </c>
      <c r="S89" s="54">
        <v>0</v>
      </c>
      <c r="T89" s="54">
        <v>0</v>
      </c>
      <c r="U89" s="54">
        <v>0</v>
      </c>
      <c r="V89" s="111">
        <f t="shared" si="28"/>
        <v>676127.95</v>
      </c>
      <c r="W89" s="71">
        <v>2017</v>
      </c>
      <c r="X89" s="71">
        <v>2017</v>
      </c>
      <c r="Y89" s="281" t="s">
        <v>154</v>
      </c>
      <c r="Z89" s="282">
        <v>5</v>
      </c>
      <c r="AA89" s="283" t="s">
        <v>169</v>
      </c>
    </row>
    <row r="90" spans="1:27" s="24" customFormat="1" ht="18" customHeight="1">
      <c r="A90" s="71">
        <f t="shared" si="30"/>
        <v>66</v>
      </c>
      <c r="B90" s="37" t="s">
        <v>172</v>
      </c>
      <c r="C90" s="51" t="s">
        <v>76</v>
      </c>
      <c r="D90" s="111">
        <v>5695.1</v>
      </c>
      <c r="E90" s="280">
        <v>3988.9</v>
      </c>
      <c r="F90" s="54">
        <f t="shared" si="24"/>
        <v>9881741.8599999994</v>
      </c>
      <c r="G90" s="54">
        <v>0</v>
      </c>
      <c r="H90" s="54">
        <f t="shared" si="25"/>
        <v>0</v>
      </c>
      <c r="I90" s="54">
        <v>0</v>
      </c>
      <c r="J90" s="53">
        <f>ROUND(1595.21*E90,2)</f>
        <v>6363133.1699999999</v>
      </c>
      <c r="K90" s="53">
        <f t="shared" si="26"/>
        <v>1595.2100002506957</v>
      </c>
      <c r="L90" s="54">
        <v>0</v>
      </c>
      <c r="M90" s="54"/>
      <c r="N90" s="53">
        <f>ROUND(882.1*E90,2)</f>
        <v>3518608.69</v>
      </c>
      <c r="O90" s="53">
        <f t="shared" si="27"/>
        <v>882.09999999999991</v>
      </c>
      <c r="P90" s="54">
        <v>0</v>
      </c>
      <c r="Q90" s="54"/>
      <c r="R90" s="54">
        <v>0</v>
      </c>
      <c r="S90" s="54">
        <v>0</v>
      </c>
      <c r="T90" s="54">
        <v>0</v>
      </c>
      <c r="U90" s="54">
        <v>0</v>
      </c>
      <c r="V90" s="111">
        <f t="shared" si="28"/>
        <v>9881741.8599999994</v>
      </c>
      <c r="W90" s="71">
        <v>2017</v>
      </c>
      <c r="X90" s="71">
        <v>2017</v>
      </c>
      <c r="Y90" s="281" t="s">
        <v>155</v>
      </c>
      <c r="Z90" s="282">
        <v>5</v>
      </c>
      <c r="AA90" s="283" t="s">
        <v>170</v>
      </c>
    </row>
    <row r="91" spans="1:27" s="24" customFormat="1" ht="18" customHeight="1">
      <c r="A91" s="71">
        <f t="shared" si="30"/>
        <v>67</v>
      </c>
      <c r="B91" s="37" t="s">
        <v>183</v>
      </c>
      <c r="C91" s="40" t="s">
        <v>119</v>
      </c>
      <c r="D91" s="111">
        <v>1361.5</v>
      </c>
      <c r="E91" s="280">
        <v>1235.5</v>
      </c>
      <c r="F91" s="54">
        <f t="shared" si="24"/>
        <v>849344.48</v>
      </c>
      <c r="G91" s="54">
        <f>ROUND((151+215+321.45)*E91,2)</f>
        <v>849344.48</v>
      </c>
      <c r="H91" s="54">
        <f t="shared" si="25"/>
        <v>687.45000404694451</v>
      </c>
      <c r="I91" s="54">
        <v>0</v>
      </c>
      <c r="J91" s="54">
        <v>0</v>
      </c>
      <c r="K91" s="53">
        <f t="shared" si="26"/>
        <v>0</v>
      </c>
      <c r="L91" s="54">
        <v>0</v>
      </c>
      <c r="M91" s="54"/>
      <c r="N91" s="54">
        <v>0</v>
      </c>
      <c r="O91" s="53">
        <f t="shared" si="27"/>
        <v>0</v>
      </c>
      <c r="P91" s="54">
        <v>0</v>
      </c>
      <c r="Q91" s="54"/>
      <c r="R91" s="54">
        <v>0</v>
      </c>
      <c r="S91" s="54">
        <v>0</v>
      </c>
      <c r="T91" s="54">
        <v>0</v>
      </c>
      <c r="U91" s="54">
        <v>0</v>
      </c>
      <c r="V91" s="111">
        <f t="shared" si="28"/>
        <v>849344.48</v>
      </c>
      <c r="W91" s="71">
        <v>2017</v>
      </c>
      <c r="X91" s="71">
        <v>2017</v>
      </c>
      <c r="Y91" s="281" t="s">
        <v>155</v>
      </c>
      <c r="Z91" s="282">
        <v>4</v>
      </c>
      <c r="AA91" s="283" t="s">
        <v>170</v>
      </c>
    </row>
    <row r="92" spans="1:27" s="24" customFormat="1" ht="18" customHeight="1">
      <c r="A92" s="71">
        <f t="shared" si="30"/>
        <v>68</v>
      </c>
      <c r="B92" s="37" t="s">
        <v>129</v>
      </c>
      <c r="C92" s="51" t="s">
        <v>97</v>
      </c>
      <c r="D92" s="111">
        <v>5839.2</v>
      </c>
      <c r="E92" s="280">
        <v>5757.5</v>
      </c>
      <c r="F92" s="54">
        <f t="shared" si="24"/>
        <v>5346759.95</v>
      </c>
      <c r="G92" s="54">
        <v>0</v>
      </c>
      <c r="H92" s="54">
        <f t="shared" si="25"/>
        <v>0</v>
      </c>
      <c r="I92" s="54">
        <v>0</v>
      </c>
      <c r="J92" s="41">
        <f>ROUND(928.66*E92,2)</f>
        <v>5346759.95</v>
      </c>
      <c r="K92" s="53">
        <f t="shared" si="26"/>
        <v>928.66000000000008</v>
      </c>
      <c r="L92" s="53">
        <v>0</v>
      </c>
      <c r="M92" s="53"/>
      <c r="N92" s="54">
        <v>0</v>
      </c>
      <c r="O92" s="53">
        <f t="shared" si="27"/>
        <v>0</v>
      </c>
      <c r="P92" s="54">
        <v>0</v>
      </c>
      <c r="Q92" s="53"/>
      <c r="R92" s="54">
        <v>0</v>
      </c>
      <c r="S92" s="54">
        <v>0</v>
      </c>
      <c r="T92" s="54">
        <v>0</v>
      </c>
      <c r="U92" s="54">
        <v>0</v>
      </c>
      <c r="V92" s="111">
        <f t="shared" si="28"/>
        <v>5346759.95</v>
      </c>
      <c r="W92" s="71">
        <v>2017</v>
      </c>
      <c r="X92" s="71">
        <v>2017</v>
      </c>
      <c r="Y92" s="281" t="s">
        <v>154</v>
      </c>
      <c r="Z92" s="282">
        <v>5</v>
      </c>
      <c r="AA92" s="283" t="s">
        <v>169</v>
      </c>
    </row>
    <row r="93" spans="1:27" s="24" customFormat="1" ht="18" customHeight="1">
      <c r="A93" s="71">
        <f t="shared" si="30"/>
        <v>69</v>
      </c>
      <c r="B93" s="37" t="s">
        <v>182</v>
      </c>
      <c r="C93" s="40" t="s">
        <v>476</v>
      </c>
      <c r="D93" s="111">
        <v>5604.9</v>
      </c>
      <c r="E93" s="280">
        <v>4633</v>
      </c>
      <c r="F93" s="54">
        <f t="shared" si="24"/>
        <v>4237063.82</v>
      </c>
      <c r="G93" s="54">
        <v>0</v>
      </c>
      <c r="H93" s="54">
        <f t="shared" si="25"/>
        <v>0</v>
      </c>
      <c r="I93" s="54">
        <v>0</v>
      </c>
      <c r="J93" s="76">
        <f>ROUND(914.54*E93,2)</f>
        <v>4237063.82</v>
      </c>
      <c r="K93" s="53">
        <f t="shared" si="26"/>
        <v>914.54000000000008</v>
      </c>
      <c r="L93" s="54">
        <v>0</v>
      </c>
      <c r="M93" s="54"/>
      <c r="N93" s="54">
        <v>0</v>
      </c>
      <c r="O93" s="53">
        <f t="shared" si="27"/>
        <v>0</v>
      </c>
      <c r="P93" s="54">
        <v>0</v>
      </c>
      <c r="Q93" s="54"/>
      <c r="R93" s="54">
        <v>0</v>
      </c>
      <c r="S93" s="54">
        <v>0</v>
      </c>
      <c r="T93" s="54">
        <v>0</v>
      </c>
      <c r="U93" s="54">
        <v>0</v>
      </c>
      <c r="V93" s="111">
        <f t="shared" si="28"/>
        <v>4237063.82</v>
      </c>
      <c r="W93" s="71">
        <v>2017</v>
      </c>
      <c r="X93" s="71">
        <v>2017</v>
      </c>
      <c r="Y93" s="281" t="s">
        <v>155</v>
      </c>
      <c r="Z93" s="282">
        <v>5</v>
      </c>
      <c r="AA93" s="283" t="s">
        <v>169</v>
      </c>
    </row>
    <row r="94" spans="1:27" s="24" customFormat="1" ht="18" customHeight="1">
      <c r="A94" s="71">
        <f t="shared" si="30"/>
        <v>70</v>
      </c>
      <c r="B94" s="37" t="s">
        <v>232</v>
      </c>
      <c r="C94" s="51" t="s">
        <v>479</v>
      </c>
      <c r="D94" s="111">
        <v>3038.3</v>
      </c>
      <c r="E94" s="280">
        <v>2582</v>
      </c>
      <c r="F94" s="54">
        <f t="shared" si="24"/>
        <v>2397800.12</v>
      </c>
      <c r="G94" s="54">
        <v>0</v>
      </c>
      <c r="H94" s="54">
        <f t="shared" si="25"/>
        <v>0</v>
      </c>
      <c r="I94" s="54">
        <v>0</v>
      </c>
      <c r="J94" s="41">
        <f>ROUND(928.66*E94,2)</f>
        <v>2397800.12</v>
      </c>
      <c r="K94" s="53">
        <f t="shared" si="26"/>
        <v>928.66000000000008</v>
      </c>
      <c r="L94" s="53">
        <v>0</v>
      </c>
      <c r="M94" s="53"/>
      <c r="N94" s="54">
        <v>0</v>
      </c>
      <c r="O94" s="53">
        <f t="shared" si="27"/>
        <v>0</v>
      </c>
      <c r="P94" s="54">
        <v>0</v>
      </c>
      <c r="Q94" s="53"/>
      <c r="R94" s="54">
        <v>0</v>
      </c>
      <c r="S94" s="54">
        <v>0</v>
      </c>
      <c r="T94" s="54">
        <v>0</v>
      </c>
      <c r="U94" s="54">
        <v>0</v>
      </c>
      <c r="V94" s="111">
        <f t="shared" si="28"/>
        <v>2397800.12</v>
      </c>
      <c r="W94" s="71">
        <v>2017</v>
      </c>
      <c r="X94" s="71">
        <v>2017</v>
      </c>
      <c r="Y94" s="281" t="s">
        <v>154</v>
      </c>
      <c r="Z94" s="282">
        <v>5</v>
      </c>
      <c r="AA94" s="283" t="s">
        <v>169</v>
      </c>
    </row>
    <row r="95" spans="1:27" s="24" customFormat="1" ht="18" customHeight="1">
      <c r="A95" s="71">
        <f t="shared" si="30"/>
        <v>71</v>
      </c>
      <c r="B95" s="37" t="s">
        <v>233</v>
      </c>
      <c r="C95" s="51" t="s">
        <v>70</v>
      </c>
      <c r="D95" s="111">
        <v>3262.3</v>
      </c>
      <c r="E95" s="280">
        <v>3136.2</v>
      </c>
      <c r="F95" s="54">
        <f t="shared" si="24"/>
        <v>3069618.4699999997</v>
      </c>
      <c r="G95" s="54">
        <f>ROUND((163.46+250.9)*E95,2)</f>
        <v>1299515.83</v>
      </c>
      <c r="H95" s="54">
        <f t="shared" si="25"/>
        <v>414.35999936228563</v>
      </c>
      <c r="I95" s="54">
        <v>0</v>
      </c>
      <c r="J95" s="54">
        <f>ROUND(564.41*E95,2)</f>
        <v>1770102.64</v>
      </c>
      <c r="K95" s="53">
        <f t="shared" si="26"/>
        <v>564.40999936228559</v>
      </c>
      <c r="L95" s="53">
        <v>0</v>
      </c>
      <c r="M95" s="53"/>
      <c r="N95" s="54">
        <v>0</v>
      </c>
      <c r="O95" s="53">
        <f t="shared" si="27"/>
        <v>0</v>
      </c>
      <c r="P95" s="54">
        <v>0</v>
      </c>
      <c r="Q95" s="53"/>
      <c r="R95" s="54">
        <v>0</v>
      </c>
      <c r="S95" s="54">
        <v>0</v>
      </c>
      <c r="T95" s="54">
        <v>0</v>
      </c>
      <c r="U95" s="54">
        <v>0</v>
      </c>
      <c r="V95" s="111">
        <f t="shared" si="28"/>
        <v>3069618.4699999997</v>
      </c>
      <c r="W95" s="71">
        <v>2017</v>
      </c>
      <c r="X95" s="71">
        <v>2017</v>
      </c>
      <c r="Y95" s="281" t="s">
        <v>155</v>
      </c>
      <c r="Z95" s="282">
        <v>9</v>
      </c>
      <c r="AA95" s="283" t="s">
        <v>169</v>
      </c>
    </row>
    <row r="96" spans="1:27" s="24" customFormat="1" ht="18" customHeight="1">
      <c r="A96" s="71">
        <f t="shared" si="30"/>
        <v>72</v>
      </c>
      <c r="B96" s="37" t="s">
        <v>171</v>
      </c>
      <c r="C96" s="40" t="s">
        <v>22</v>
      </c>
      <c r="D96" s="111">
        <v>5001.3</v>
      </c>
      <c r="E96" s="292">
        <v>3897.2</v>
      </c>
      <c r="F96" s="54">
        <f t="shared" si="24"/>
        <v>3177426.13</v>
      </c>
      <c r="G96" s="54">
        <f>ROUND(250.9*E96,2)</f>
        <v>977807.48</v>
      </c>
      <c r="H96" s="54">
        <f t="shared" si="25"/>
        <v>250.9</v>
      </c>
      <c r="I96" s="54">
        <v>0</v>
      </c>
      <c r="J96" s="54">
        <f>ROUND(564.41*E96,2)</f>
        <v>2199618.65</v>
      </c>
      <c r="K96" s="53">
        <f t="shared" si="26"/>
        <v>564.4099994868111</v>
      </c>
      <c r="L96" s="54">
        <v>0</v>
      </c>
      <c r="M96" s="54"/>
      <c r="N96" s="54">
        <v>0</v>
      </c>
      <c r="O96" s="53">
        <f t="shared" si="27"/>
        <v>0</v>
      </c>
      <c r="P96" s="54"/>
      <c r="Q96" s="36"/>
      <c r="R96" s="54">
        <v>0</v>
      </c>
      <c r="S96" s="53">
        <v>0</v>
      </c>
      <c r="T96" s="53">
        <v>0</v>
      </c>
      <c r="U96" s="53">
        <v>0</v>
      </c>
      <c r="V96" s="111">
        <f t="shared" si="28"/>
        <v>3177426.13</v>
      </c>
      <c r="W96" s="71">
        <v>2017</v>
      </c>
      <c r="X96" s="71">
        <v>2017</v>
      </c>
      <c r="Y96" s="293" t="s">
        <v>155</v>
      </c>
      <c r="Z96" s="294">
        <v>9</v>
      </c>
      <c r="AA96" s="295" t="s">
        <v>169</v>
      </c>
    </row>
    <row r="97" spans="1:27" s="24" customFormat="1" ht="18" customHeight="1">
      <c r="A97" s="71">
        <f t="shared" si="30"/>
        <v>73</v>
      </c>
      <c r="B97" s="37" t="s">
        <v>238</v>
      </c>
      <c r="C97" s="51" t="s">
        <v>20</v>
      </c>
      <c r="D97" s="111">
        <v>4081.3</v>
      </c>
      <c r="E97" s="280">
        <v>4033.3</v>
      </c>
      <c r="F97" s="54">
        <f t="shared" si="24"/>
        <v>1117466.1000000001</v>
      </c>
      <c r="G97" s="54">
        <f>ROUND((107.99+169.07)*E97,2)</f>
        <v>1117466.1000000001</v>
      </c>
      <c r="H97" s="54">
        <f t="shared" si="25"/>
        <v>277.06000049587186</v>
      </c>
      <c r="I97" s="54">
        <v>0</v>
      </c>
      <c r="J97" s="54">
        <v>0</v>
      </c>
      <c r="K97" s="53">
        <f t="shared" si="26"/>
        <v>0</v>
      </c>
      <c r="L97" s="53">
        <v>0</v>
      </c>
      <c r="M97" s="53"/>
      <c r="N97" s="54">
        <v>0</v>
      </c>
      <c r="O97" s="53">
        <f t="shared" si="27"/>
        <v>0</v>
      </c>
      <c r="P97" s="54">
        <v>0</v>
      </c>
      <c r="Q97" s="53"/>
      <c r="R97" s="54">
        <v>0</v>
      </c>
      <c r="S97" s="54">
        <v>0</v>
      </c>
      <c r="T97" s="54">
        <v>0</v>
      </c>
      <c r="U97" s="54">
        <v>0</v>
      </c>
      <c r="V97" s="111">
        <f t="shared" si="28"/>
        <v>1117466.1000000001</v>
      </c>
      <c r="W97" s="71">
        <v>2017</v>
      </c>
      <c r="X97" s="71">
        <v>2017</v>
      </c>
      <c r="Y97" s="281" t="s">
        <v>154</v>
      </c>
      <c r="Z97" s="282">
        <v>9</v>
      </c>
      <c r="AA97" s="283" t="s">
        <v>169</v>
      </c>
    </row>
    <row r="98" spans="1:27" s="24" customFormat="1" ht="18" customHeight="1">
      <c r="A98" s="71">
        <f t="shared" si="30"/>
        <v>74</v>
      </c>
      <c r="B98" s="37" t="s">
        <v>235</v>
      </c>
      <c r="C98" s="51" t="s">
        <v>66</v>
      </c>
      <c r="D98" s="111">
        <v>1593.6</v>
      </c>
      <c r="E98" s="280">
        <v>1453.6</v>
      </c>
      <c r="F98" s="54">
        <f t="shared" ref="F98:F129" si="31">G98+I98+J98+L98+N98+P98+R98</f>
        <v>1861392.94</v>
      </c>
      <c r="G98" s="54">
        <f>ROUND((151+215)*E98,2)</f>
        <v>532017.6</v>
      </c>
      <c r="H98" s="54">
        <f t="shared" ref="H98:H129" si="32">G98/E98</f>
        <v>366</v>
      </c>
      <c r="I98" s="54">
        <v>0</v>
      </c>
      <c r="J98" s="76">
        <f>ROUND(914.54*E98,2)</f>
        <v>1329375.3400000001</v>
      </c>
      <c r="K98" s="53">
        <f t="shared" si="26"/>
        <v>914.53999724821142</v>
      </c>
      <c r="L98" s="53">
        <v>0</v>
      </c>
      <c r="M98" s="53"/>
      <c r="N98" s="54">
        <v>0</v>
      </c>
      <c r="O98" s="53">
        <f t="shared" ref="O98:O129" si="33">N98/E98</f>
        <v>0</v>
      </c>
      <c r="P98" s="54">
        <v>0</v>
      </c>
      <c r="Q98" s="53"/>
      <c r="R98" s="54">
        <v>0</v>
      </c>
      <c r="S98" s="54">
        <v>0</v>
      </c>
      <c r="T98" s="54">
        <v>0</v>
      </c>
      <c r="U98" s="54">
        <v>0</v>
      </c>
      <c r="V98" s="111">
        <f t="shared" ref="V98:V129" si="34">F98</f>
        <v>1861392.94</v>
      </c>
      <c r="W98" s="71">
        <v>2017</v>
      </c>
      <c r="X98" s="71">
        <v>2017</v>
      </c>
      <c r="Y98" s="281" t="s">
        <v>155</v>
      </c>
      <c r="Z98" s="282">
        <v>5</v>
      </c>
      <c r="AA98" s="283" t="s">
        <v>169</v>
      </c>
    </row>
    <row r="99" spans="1:27" s="24" customFormat="1" ht="18" customHeight="1">
      <c r="A99" s="71">
        <f t="shared" si="30"/>
        <v>75</v>
      </c>
      <c r="B99" s="37" t="s">
        <v>218</v>
      </c>
      <c r="C99" s="51" t="s">
        <v>74</v>
      </c>
      <c r="D99" s="111">
        <v>607.6</v>
      </c>
      <c r="E99" s="280">
        <v>556.1</v>
      </c>
      <c r="F99" s="54">
        <f t="shared" si="31"/>
        <v>1980978.35</v>
      </c>
      <c r="G99" s="54">
        <v>0</v>
      </c>
      <c r="H99" s="54">
        <f t="shared" si="32"/>
        <v>0</v>
      </c>
      <c r="I99" s="54">
        <v>0</v>
      </c>
      <c r="J99" s="54">
        <f>ROUND(3562.27*E99,2)</f>
        <v>1980978.35</v>
      </c>
      <c r="K99" s="53">
        <f t="shared" si="26"/>
        <v>3562.2700053947133</v>
      </c>
      <c r="L99" s="53">
        <v>0</v>
      </c>
      <c r="M99" s="53"/>
      <c r="N99" s="54">
        <v>0</v>
      </c>
      <c r="O99" s="53">
        <f t="shared" si="33"/>
        <v>0</v>
      </c>
      <c r="P99" s="54">
        <v>0</v>
      </c>
      <c r="Q99" s="53"/>
      <c r="R99" s="54">
        <v>0</v>
      </c>
      <c r="S99" s="54">
        <v>0</v>
      </c>
      <c r="T99" s="54">
        <v>0</v>
      </c>
      <c r="U99" s="54">
        <v>0</v>
      </c>
      <c r="V99" s="111">
        <f t="shared" si="34"/>
        <v>1980978.35</v>
      </c>
      <c r="W99" s="71">
        <v>2017</v>
      </c>
      <c r="X99" s="71">
        <v>2017</v>
      </c>
      <c r="Y99" s="281" t="s">
        <v>168</v>
      </c>
      <c r="Z99" s="282">
        <v>2</v>
      </c>
      <c r="AA99" s="283" t="s">
        <v>170</v>
      </c>
    </row>
    <row r="100" spans="1:27" s="24" customFormat="1" ht="18" customHeight="1">
      <c r="A100" s="71">
        <f t="shared" si="30"/>
        <v>76</v>
      </c>
      <c r="B100" s="37" t="s">
        <v>203</v>
      </c>
      <c r="C100" s="40" t="s">
        <v>65</v>
      </c>
      <c r="D100" s="111">
        <v>3856.7</v>
      </c>
      <c r="E100" s="280">
        <v>3204.4</v>
      </c>
      <c r="F100" s="54">
        <f t="shared" si="31"/>
        <v>8974563.0800000001</v>
      </c>
      <c r="G100" s="54">
        <f>ROUND((151+215+321.45+518.04)*E100,2)</f>
        <v>3862872.16</v>
      </c>
      <c r="H100" s="54">
        <f t="shared" si="32"/>
        <v>1205.4900012482835</v>
      </c>
      <c r="I100" s="54">
        <v>0</v>
      </c>
      <c r="J100" s="53">
        <f>ROUND(1595.21*E100,2)</f>
        <v>5111690.92</v>
      </c>
      <c r="K100" s="53">
        <f t="shared" si="26"/>
        <v>1595.2099987517163</v>
      </c>
      <c r="L100" s="54">
        <v>0</v>
      </c>
      <c r="M100" s="54"/>
      <c r="N100" s="54">
        <v>0</v>
      </c>
      <c r="O100" s="53">
        <f t="shared" si="33"/>
        <v>0</v>
      </c>
      <c r="P100" s="54">
        <v>0</v>
      </c>
      <c r="Q100" s="54"/>
      <c r="R100" s="54">
        <v>0</v>
      </c>
      <c r="S100" s="54">
        <v>0</v>
      </c>
      <c r="T100" s="54">
        <v>0</v>
      </c>
      <c r="U100" s="54">
        <v>0</v>
      </c>
      <c r="V100" s="111">
        <f t="shared" si="34"/>
        <v>8974563.0800000001</v>
      </c>
      <c r="W100" s="71">
        <v>2017</v>
      </c>
      <c r="X100" s="71">
        <v>2017</v>
      </c>
      <c r="Y100" s="281" t="s">
        <v>155</v>
      </c>
      <c r="Z100" s="282">
        <v>5</v>
      </c>
      <c r="AA100" s="283" t="s">
        <v>170</v>
      </c>
    </row>
    <row r="101" spans="1:27" s="24" customFormat="1" ht="18" customHeight="1">
      <c r="A101" s="71">
        <f t="shared" si="30"/>
        <v>77</v>
      </c>
      <c r="B101" s="296" t="s">
        <v>276</v>
      </c>
      <c r="C101" s="51" t="s">
        <v>477</v>
      </c>
      <c r="D101" s="111">
        <v>3795.3</v>
      </c>
      <c r="E101" s="280">
        <v>3607.6</v>
      </c>
      <c r="F101" s="54">
        <f t="shared" si="31"/>
        <v>609936.93000000005</v>
      </c>
      <c r="G101" s="54">
        <f>ROUND(169.07*E101,2)</f>
        <v>609936.93000000005</v>
      </c>
      <c r="H101" s="54">
        <f t="shared" si="32"/>
        <v>169.06999944561483</v>
      </c>
      <c r="I101" s="54">
        <v>0</v>
      </c>
      <c r="J101" s="54">
        <v>0</v>
      </c>
      <c r="K101" s="53">
        <f t="shared" si="26"/>
        <v>0</v>
      </c>
      <c r="L101" s="53">
        <v>0</v>
      </c>
      <c r="M101" s="53"/>
      <c r="N101" s="54">
        <v>0</v>
      </c>
      <c r="O101" s="53">
        <f t="shared" si="33"/>
        <v>0</v>
      </c>
      <c r="P101" s="54">
        <v>0</v>
      </c>
      <c r="Q101" s="53"/>
      <c r="R101" s="54">
        <v>0</v>
      </c>
      <c r="S101" s="54">
        <v>0</v>
      </c>
      <c r="T101" s="54">
        <v>0</v>
      </c>
      <c r="U101" s="54">
        <v>0</v>
      </c>
      <c r="V101" s="111">
        <f t="shared" si="34"/>
        <v>609936.93000000005</v>
      </c>
      <c r="W101" s="71">
        <v>2017</v>
      </c>
      <c r="X101" s="71">
        <v>2017</v>
      </c>
      <c r="Y101" s="281" t="s">
        <v>154</v>
      </c>
      <c r="Z101" s="282">
        <v>9</v>
      </c>
      <c r="AA101" s="283" t="s">
        <v>169</v>
      </c>
    </row>
    <row r="102" spans="1:27" s="24" customFormat="1" ht="18" customHeight="1">
      <c r="A102" s="71">
        <f t="shared" si="30"/>
        <v>78</v>
      </c>
      <c r="B102" s="297" t="s">
        <v>219</v>
      </c>
      <c r="C102" s="51" t="s">
        <v>479</v>
      </c>
      <c r="D102" s="111">
        <v>2746.1</v>
      </c>
      <c r="E102" s="280">
        <v>2688.2</v>
      </c>
      <c r="F102" s="54">
        <f t="shared" si="31"/>
        <v>2496423.81</v>
      </c>
      <c r="G102" s="54">
        <v>0</v>
      </c>
      <c r="H102" s="54">
        <f t="shared" si="32"/>
        <v>0</v>
      </c>
      <c r="I102" s="54">
        <v>0</v>
      </c>
      <c r="J102" s="54">
        <f>ROUND(928.66*E102,2)</f>
        <v>2496423.81</v>
      </c>
      <c r="K102" s="53">
        <f t="shared" si="26"/>
        <v>928.65999925600784</v>
      </c>
      <c r="L102" s="53">
        <v>0</v>
      </c>
      <c r="M102" s="53"/>
      <c r="N102" s="54">
        <v>0</v>
      </c>
      <c r="O102" s="53">
        <f t="shared" si="33"/>
        <v>0</v>
      </c>
      <c r="P102" s="54">
        <v>0</v>
      </c>
      <c r="Q102" s="53"/>
      <c r="R102" s="54">
        <v>0</v>
      </c>
      <c r="S102" s="54">
        <v>0</v>
      </c>
      <c r="T102" s="54">
        <v>0</v>
      </c>
      <c r="U102" s="54">
        <v>0</v>
      </c>
      <c r="V102" s="111">
        <f t="shared" si="34"/>
        <v>2496423.81</v>
      </c>
      <c r="W102" s="71">
        <v>2017</v>
      </c>
      <c r="X102" s="71">
        <v>2017</v>
      </c>
      <c r="Y102" s="281" t="s">
        <v>154</v>
      </c>
      <c r="Z102" s="282">
        <v>5</v>
      </c>
      <c r="AA102" s="283" t="s">
        <v>169</v>
      </c>
    </row>
    <row r="103" spans="1:27" s="24" customFormat="1" ht="18" customHeight="1">
      <c r="A103" s="71">
        <f t="shared" si="30"/>
        <v>79</v>
      </c>
      <c r="B103" s="297" t="s">
        <v>466</v>
      </c>
      <c r="C103" s="51" t="s">
        <v>24</v>
      </c>
      <c r="D103" s="111">
        <v>3839.9</v>
      </c>
      <c r="E103" s="280">
        <v>3664.3</v>
      </c>
      <c r="F103" s="54">
        <f t="shared" si="31"/>
        <v>2232951.13</v>
      </c>
      <c r="G103" s="54">
        <v>0</v>
      </c>
      <c r="H103" s="54">
        <f t="shared" si="32"/>
        <v>0</v>
      </c>
      <c r="I103" s="54">
        <v>0</v>
      </c>
      <c r="J103" s="53">
        <f>ROUND(609.38*E103,2)</f>
        <v>2232951.13</v>
      </c>
      <c r="K103" s="53">
        <f t="shared" ref="K103:K134" si="35">J103/E103</f>
        <v>609.37999890838626</v>
      </c>
      <c r="L103" s="53">
        <v>0</v>
      </c>
      <c r="M103" s="53"/>
      <c r="N103" s="54">
        <v>0</v>
      </c>
      <c r="O103" s="53">
        <f t="shared" si="33"/>
        <v>0</v>
      </c>
      <c r="P103" s="54">
        <v>0</v>
      </c>
      <c r="Q103" s="53"/>
      <c r="R103" s="54">
        <v>0</v>
      </c>
      <c r="S103" s="54">
        <v>0</v>
      </c>
      <c r="T103" s="54">
        <v>0</v>
      </c>
      <c r="U103" s="54">
        <v>0</v>
      </c>
      <c r="V103" s="111">
        <f t="shared" si="34"/>
        <v>2232951.13</v>
      </c>
      <c r="W103" s="71">
        <v>2017</v>
      </c>
      <c r="X103" s="71">
        <v>2017</v>
      </c>
      <c r="Y103" s="281" t="s">
        <v>154</v>
      </c>
      <c r="Z103" s="282">
        <v>9</v>
      </c>
      <c r="AA103" s="283" t="s">
        <v>169</v>
      </c>
    </row>
    <row r="104" spans="1:27" s="24" customFormat="1" ht="18" customHeight="1">
      <c r="A104" s="71">
        <f t="shared" si="30"/>
        <v>80</v>
      </c>
      <c r="B104" s="297" t="s">
        <v>231</v>
      </c>
      <c r="C104" s="51" t="s">
        <v>56</v>
      </c>
      <c r="D104" s="111">
        <v>1365.9</v>
      </c>
      <c r="E104" s="280">
        <v>1329.5</v>
      </c>
      <c r="F104" s="54">
        <f t="shared" si="31"/>
        <v>2120831.7000000002</v>
      </c>
      <c r="G104" s="54">
        <v>0</v>
      </c>
      <c r="H104" s="54">
        <f t="shared" si="32"/>
        <v>0</v>
      </c>
      <c r="I104" s="54">
        <v>0</v>
      </c>
      <c r="J104" s="53">
        <f t="shared" ref="J104:J105" si="36">ROUND(1595.21*E104,2)</f>
        <v>2120831.7000000002</v>
      </c>
      <c r="K104" s="53">
        <f t="shared" si="35"/>
        <v>1595.2100037608125</v>
      </c>
      <c r="L104" s="53">
        <v>0</v>
      </c>
      <c r="M104" s="53"/>
      <c r="N104" s="54">
        <v>0</v>
      </c>
      <c r="O104" s="53">
        <f t="shared" si="33"/>
        <v>0</v>
      </c>
      <c r="P104" s="54">
        <v>0</v>
      </c>
      <c r="Q104" s="53"/>
      <c r="R104" s="54">
        <v>0</v>
      </c>
      <c r="S104" s="54">
        <v>0</v>
      </c>
      <c r="T104" s="54">
        <v>0</v>
      </c>
      <c r="U104" s="54">
        <v>0</v>
      </c>
      <c r="V104" s="111">
        <f t="shared" si="34"/>
        <v>2120831.7000000002</v>
      </c>
      <c r="W104" s="71">
        <v>2017</v>
      </c>
      <c r="X104" s="71">
        <v>2017</v>
      </c>
      <c r="Y104" s="281" t="s">
        <v>155</v>
      </c>
      <c r="Z104" s="282">
        <v>3</v>
      </c>
      <c r="AA104" s="283" t="s">
        <v>170</v>
      </c>
    </row>
    <row r="105" spans="1:27" s="24" customFormat="1" ht="18" customHeight="1">
      <c r="A105" s="71">
        <f t="shared" si="30"/>
        <v>81</v>
      </c>
      <c r="B105" s="298" t="s">
        <v>224</v>
      </c>
      <c r="C105" s="51" t="s">
        <v>480</v>
      </c>
      <c r="D105" s="111">
        <v>423.2</v>
      </c>
      <c r="E105" s="299">
        <v>383.7</v>
      </c>
      <c r="F105" s="54">
        <f t="shared" si="31"/>
        <v>612082.07999999996</v>
      </c>
      <c r="G105" s="54">
        <v>0</v>
      </c>
      <c r="H105" s="54">
        <f t="shared" si="32"/>
        <v>0</v>
      </c>
      <c r="I105" s="54">
        <v>0</v>
      </c>
      <c r="J105" s="53">
        <f t="shared" si="36"/>
        <v>612082.07999999996</v>
      </c>
      <c r="K105" s="53">
        <f t="shared" si="35"/>
        <v>1595.2100078186081</v>
      </c>
      <c r="L105" s="53">
        <v>0</v>
      </c>
      <c r="M105" s="53"/>
      <c r="N105" s="54">
        <v>0</v>
      </c>
      <c r="O105" s="53">
        <f t="shared" si="33"/>
        <v>0</v>
      </c>
      <c r="P105" s="54">
        <v>0</v>
      </c>
      <c r="Q105" s="53"/>
      <c r="R105" s="54">
        <v>0</v>
      </c>
      <c r="S105" s="54">
        <v>0</v>
      </c>
      <c r="T105" s="54">
        <v>0</v>
      </c>
      <c r="U105" s="54">
        <v>0</v>
      </c>
      <c r="V105" s="111">
        <f t="shared" si="34"/>
        <v>612082.07999999996</v>
      </c>
      <c r="W105" s="71">
        <v>2017</v>
      </c>
      <c r="X105" s="71">
        <v>2017</v>
      </c>
      <c r="Y105" s="300" t="s">
        <v>155</v>
      </c>
      <c r="Z105" s="282">
        <v>2</v>
      </c>
      <c r="AA105" s="301" t="s">
        <v>170</v>
      </c>
    </row>
    <row r="106" spans="1:27" s="24" customFormat="1" ht="18" customHeight="1">
      <c r="A106" s="71">
        <f t="shared" si="30"/>
        <v>82</v>
      </c>
      <c r="B106" s="297" t="s">
        <v>263</v>
      </c>
      <c r="C106" s="51" t="s">
        <v>22</v>
      </c>
      <c r="D106" s="111">
        <v>3946.4</v>
      </c>
      <c r="E106" s="280">
        <v>3741.7</v>
      </c>
      <c r="F106" s="54">
        <f t="shared" si="31"/>
        <v>2111852.9</v>
      </c>
      <c r="G106" s="54">
        <v>0</v>
      </c>
      <c r="H106" s="54">
        <f t="shared" si="32"/>
        <v>0</v>
      </c>
      <c r="I106" s="54">
        <v>0</v>
      </c>
      <c r="J106" s="54">
        <f>ROUND(564.41*E106,2)</f>
        <v>2111852.9</v>
      </c>
      <c r="K106" s="53">
        <f t="shared" si="35"/>
        <v>564.41000080177457</v>
      </c>
      <c r="L106" s="53">
        <v>0</v>
      </c>
      <c r="M106" s="53"/>
      <c r="N106" s="54">
        <v>0</v>
      </c>
      <c r="O106" s="53">
        <f t="shared" si="33"/>
        <v>0</v>
      </c>
      <c r="P106" s="54">
        <v>0</v>
      </c>
      <c r="Q106" s="53"/>
      <c r="R106" s="54">
        <v>0</v>
      </c>
      <c r="S106" s="54">
        <v>0</v>
      </c>
      <c r="T106" s="54">
        <v>0</v>
      </c>
      <c r="U106" s="54">
        <v>0</v>
      </c>
      <c r="V106" s="111">
        <f t="shared" si="34"/>
        <v>2111852.9</v>
      </c>
      <c r="W106" s="71">
        <v>2017</v>
      </c>
      <c r="X106" s="71">
        <v>2017</v>
      </c>
      <c r="Y106" s="281" t="s">
        <v>155</v>
      </c>
      <c r="Z106" s="282">
        <v>9</v>
      </c>
      <c r="AA106" s="283" t="s">
        <v>169</v>
      </c>
    </row>
    <row r="107" spans="1:27" s="24" customFormat="1" ht="18.75" customHeight="1">
      <c r="A107" s="71">
        <f t="shared" si="30"/>
        <v>83</v>
      </c>
      <c r="B107" s="297" t="s">
        <v>210</v>
      </c>
      <c r="C107" s="51" t="s">
        <v>477</v>
      </c>
      <c r="D107" s="111">
        <v>3836.2</v>
      </c>
      <c r="E107" s="280">
        <v>3818.8</v>
      </c>
      <c r="F107" s="54">
        <f t="shared" si="31"/>
        <v>8043161.8799999999</v>
      </c>
      <c r="G107" s="54">
        <v>0</v>
      </c>
      <c r="H107" s="54">
        <f t="shared" si="32"/>
        <v>0</v>
      </c>
      <c r="I107" s="286">
        <f>4021580.94*2</f>
        <v>8043161.8799999999</v>
      </c>
      <c r="J107" s="54">
        <v>0</v>
      </c>
      <c r="K107" s="53">
        <f t="shared" si="35"/>
        <v>0</v>
      </c>
      <c r="L107" s="53">
        <v>0</v>
      </c>
      <c r="M107" s="53"/>
      <c r="N107" s="54">
        <v>0</v>
      </c>
      <c r="O107" s="53">
        <f t="shared" si="33"/>
        <v>0</v>
      </c>
      <c r="P107" s="54">
        <v>0</v>
      </c>
      <c r="Q107" s="53"/>
      <c r="R107" s="54">
        <v>0</v>
      </c>
      <c r="S107" s="54">
        <v>0</v>
      </c>
      <c r="T107" s="54">
        <v>0</v>
      </c>
      <c r="U107" s="54">
        <v>0</v>
      </c>
      <c r="V107" s="111">
        <f t="shared" si="34"/>
        <v>8043161.8799999999</v>
      </c>
      <c r="W107" s="71">
        <v>2017</v>
      </c>
      <c r="X107" s="71">
        <v>2017</v>
      </c>
      <c r="Y107" s="281" t="s">
        <v>154</v>
      </c>
      <c r="Z107" s="282">
        <v>9</v>
      </c>
      <c r="AA107" s="283" t="s">
        <v>169</v>
      </c>
    </row>
    <row r="108" spans="1:27" s="24" customFormat="1" ht="18" customHeight="1">
      <c r="A108" s="71">
        <f t="shared" si="30"/>
        <v>84</v>
      </c>
      <c r="B108" s="297" t="s">
        <v>130</v>
      </c>
      <c r="C108" s="40" t="s">
        <v>118</v>
      </c>
      <c r="D108" s="111">
        <v>9145.2999999999993</v>
      </c>
      <c r="E108" s="280">
        <v>7703.2</v>
      </c>
      <c r="F108" s="54">
        <f t="shared" si="31"/>
        <v>3170328.99</v>
      </c>
      <c r="G108" s="54">
        <f>ROUND((107.99+169.07+134.5)*E108,2)</f>
        <v>3170328.99</v>
      </c>
      <c r="H108" s="54">
        <f t="shared" si="32"/>
        <v>411.55999974036769</v>
      </c>
      <c r="I108" s="302">
        <v>0</v>
      </c>
      <c r="J108" s="54">
        <v>0</v>
      </c>
      <c r="K108" s="53">
        <f t="shared" si="35"/>
        <v>0</v>
      </c>
      <c r="L108" s="54">
        <v>0</v>
      </c>
      <c r="M108" s="54"/>
      <c r="N108" s="54">
        <v>0</v>
      </c>
      <c r="O108" s="53">
        <f t="shared" si="33"/>
        <v>0</v>
      </c>
      <c r="P108" s="54">
        <v>0</v>
      </c>
      <c r="Q108" s="54"/>
      <c r="R108" s="54">
        <v>0</v>
      </c>
      <c r="S108" s="54">
        <v>0</v>
      </c>
      <c r="T108" s="54">
        <v>0</v>
      </c>
      <c r="U108" s="54">
        <v>0</v>
      </c>
      <c r="V108" s="111">
        <f t="shared" si="34"/>
        <v>3170328.99</v>
      </c>
      <c r="W108" s="71">
        <v>2017</v>
      </c>
      <c r="X108" s="71">
        <v>2017</v>
      </c>
      <c r="Y108" s="281" t="s">
        <v>154</v>
      </c>
      <c r="Z108" s="282">
        <v>9</v>
      </c>
      <c r="AA108" s="283" t="s">
        <v>169</v>
      </c>
    </row>
    <row r="109" spans="1:27" s="24" customFormat="1" ht="18" customHeight="1">
      <c r="A109" s="71">
        <f t="shared" si="30"/>
        <v>85</v>
      </c>
      <c r="B109" s="297" t="s">
        <v>205</v>
      </c>
      <c r="C109" s="40" t="s">
        <v>480</v>
      </c>
      <c r="D109" s="111">
        <v>649.79999999999995</v>
      </c>
      <c r="E109" s="280">
        <v>592.29999999999995</v>
      </c>
      <c r="F109" s="54">
        <f t="shared" si="31"/>
        <v>714011.73</v>
      </c>
      <c r="G109" s="54">
        <f>ROUND((151+215+321.45+518.04)*E109,2)</f>
        <v>714011.73</v>
      </c>
      <c r="H109" s="54">
        <f t="shared" si="32"/>
        <v>1205.490005065001</v>
      </c>
      <c r="I109" s="302">
        <v>0</v>
      </c>
      <c r="J109" s="54">
        <v>0</v>
      </c>
      <c r="K109" s="53">
        <f t="shared" si="35"/>
        <v>0</v>
      </c>
      <c r="L109" s="54">
        <v>0</v>
      </c>
      <c r="M109" s="54"/>
      <c r="N109" s="54">
        <v>0</v>
      </c>
      <c r="O109" s="53">
        <f t="shared" si="33"/>
        <v>0</v>
      </c>
      <c r="P109" s="54">
        <v>0</v>
      </c>
      <c r="Q109" s="54"/>
      <c r="R109" s="54">
        <v>0</v>
      </c>
      <c r="S109" s="54">
        <v>0</v>
      </c>
      <c r="T109" s="54">
        <v>0</v>
      </c>
      <c r="U109" s="54">
        <v>0</v>
      </c>
      <c r="V109" s="111">
        <f t="shared" si="34"/>
        <v>714011.73</v>
      </c>
      <c r="W109" s="71">
        <v>2017</v>
      </c>
      <c r="X109" s="71">
        <v>2017</v>
      </c>
      <c r="Y109" s="281" t="s">
        <v>155</v>
      </c>
      <c r="Z109" s="282">
        <v>2</v>
      </c>
      <c r="AA109" s="283" t="s">
        <v>170</v>
      </c>
    </row>
    <row r="110" spans="1:27" s="24" customFormat="1" ht="18" customHeight="1">
      <c r="A110" s="71">
        <f t="shared" si="30"/>
        <v>86</v>
      </c>
      <c r="B110" s="297" t="s">
        <v>204</v>
      </c>
      <c r="C110" s="40" t="s">
        <v>480</v>
      </c>
      <c r="D110" s="111">
        <v>655.6</v>
      </c>
      <c r="E110" s="280">
        <v>602</v>
      </c>
      <c r="F110" s="54">
        <f t="shared" si="31"/>
        <v>1491340.62</v>
      </c>
      <c r="G110" s="54">
        <v>0</v>
      </c>
      <c r="H110" s="54">
        <f t="shared" si="32"/>
        <v>0</v>
      </c>
      <c r="I110" s="302">
        <v>0</v>
      </c>
      <c r="J110" s="53">
        <f>ROUND(1595.21*E110,2)</f>
        <v>960316.42</v>
      </c>
      <c r="K110" s="53">
        <f t="shared" si="35"/>
        <v>1595.21</v>
      </c>
      <c r="L110" s="54">
        <v>0</v>
      </c>
      <c r="M110" s="54"/>
      <c r="N110" s="53">
        <f>ROUND(882.1*E110,2)</f>
        <v>531024.19999999995</v>
      </c>
      <c r="O110" s="53">
        <f t="shared" si="33"/>
        <v>882.09999999999991</v>
      </c>
      <c r="P110" s="54">
        <v>0</v>
      </c>
      <c r="Q110" s="54"/>
      <c r="R110" s="54">
        <v>0</v>
      </c>
      <c r="S110" s="54">
        <v>0</v>
      </c>
      <c r="T110" s="54">
        <v>0</v>
      </c>
      <c r="U110" s="54">
        <v>0</v>
      </c>
      <c r="V110" s="111">
        <f t="shared" si="34"/>
        <v>1491340.62</v>
      </c>
      <c r="W110" s="71">
        <v>2017</v>
      </c>
      <c r="X110" s="71">
        <v>2017</v>
      </c>
      <c r="Y110" s="281" t="s">
        <v>155</v>
      </c>
      <c r="Z110" s="282">
        <v>2</v>
      </c>
      <c r="AA110" s="283" t="s">
        <v>170</v>
      </c>
    </row>
    <row r="111" spans="1:27" s="24" customFormat="1" ht="18" customHeight="1">
      <c r="A111" s="71">
        <f t="shared" si="30"/>
        <v>87</v>
      </c>
      <c r="B111" s="297" t="s">
        <v>206</v>
      </c>
      <c r="C111" s="51" t="s">
        <v>477</v>
      </c>
      <c r="D111" s="111">
        <v>3889.1</v>
      </c>
      <c r="E111" s="280">
        <v>3858.2</v>
      </c>
      <c r="F111" s="54">
        <f t="shared" si="31"/>
        <v>8043161.8799999999</v>
      </c>
      <c r="G111" s="54">
        <v>0</v>
      </c>
      <c r="H111" s="54">
        <f t="shared" si="32"/>
        <v>0</v>
      </c>
      <c r="I111" s="303">
        <f>4021580.94*2</f>
        <v>8043161.8799999999</v>
      </c>
      <c r="J111" s="54">
        <v>0</v>
      </c>
      <c r="K111" s="53">
        <f t="shared" si="35"/>
        <v>0</v>
      </c>
      <c r="L111" s="53">
        <v>0</v>
      </c>
      <c r="M111" s="53"/>
      <c r="N111" s="54">
        <v>0</v>
      </c>
      <c r="O111" s="53">
        <f t="shared" si="33"/>
        <v>0</v>
      </c>
      <c r="P111" s="54">
        <v>0</v>
      </c>
      <c r="Q111" s="53"/>
      <c r="R111" s="54">
        <v>0</v>
      </c>
      <c r="S111" s="54">
        <v>0</v>
      </c>
      <c r="T111" s="54">
        <v>0</v>
      </c>
      <c r="U111" s="54">
        <v>0</v>
      </c>
      <c r="V111" s="111">
        <f t="shared" si="34"/>
        <v>8043161.8799999999</v>
      </c>
      <c r="W111" s="71">
        <v>2017</v>
      </c>
      <c r="X111" s="71">
        <v>2017</v>
      </c>
      <c r="Y111" s="281" t="s">
        <v>154</v>
      </c>
      <c r="Z111" s="282">
        <v>9</v>
      </c>
      <c r="AA111" s="283" t="s">
        <v>169</v>
      </c>
    </row>
    <row r="112" spans="1:27" s="24" customFormat="1" ht="18" customHeight="1">
      <c r="A112" s="71">
        <f t="shared" si="30"/>
        <v>88</v>
      </c>
      <c r="B112" s="297" t="s">
        <v>208</v>
      </c>
      <c r="C112" s="51" t="s">
        <v>481</v>
      </c>
      <c r="D112" s="111">
        <v>923.9</v>
      </c>
      <c r="E112" s="280">
        <v>825.7</v>
      </c>
      <c r="F112" s="54">
        <f t="shared" si="31"/>
        <v>1317164.8999999999</v>
      </c>
      <c r="G112" s="54">
        <v>0</v>
      </c>
      <c r="H112" s="54">
        <f t="shared" si="32"/>
        <v>0</v>
      </c>
      <c r="I112" s="302">
        <v>0</v>
      </c>
      <c r="J112" s="53">
        <f>ROUND(1595.21*E112,2)</f>
        <v>1317164.8999999999</v>
      </c>
      <c r="K112" s="53">
        <f t="shared" si="35"/>
        <v>1595.2100036332806</v>
      </c>
      <c r="L112" s="53">
        <v>0</v>
      </c>
      <c r="M112" s="53"/>
      <c r="N112" s="54">
        <v>0</v>
      </c>
      <c r="O112" s="53">
        <f t="shared" si="33"/>
        <v>0</v>
      </c>
      <c r="P112" s="54">
        <v>0</v>
      </c>
      <c r="Q112" s="53"/>
      <c r="R112" s="54">
        <v>0</v>
      </c>
      <c r="S112" s="54">
        <v>0</v>
      </c>
      <c r="T112" s="54">
        <v>0</v>
      </c>
      <c r="U112" s="54">
        <v>0</v>
      </c>
      <c r="V112" s="111">
        <f t="shared" si="34"/>
        <v>1317164.8999999999</v>
      </c>
      <c r="W112" s="71">
        <v>2017</v>
      </c>
      <c r="X112" s="71">
        <v>2017</v>
      </c>
      <c r="Y112" s="281" t="s">
        <v>155</v>
      </c>
      <c r="Z112" s="282">
        <v>2</v>
      </c>
      <c r="AA112" s="283" t="s">
        <v>170</v>
      </c>
    </row>
    <row r="113" spans="1:27" s="24" customFormat="1" ht="18" customHeight="1">
      <c r="A113" s="71">
        <f t="shared" si="30"/>
        <v>89</v>
      </c>
      <c r="B113" s="297" t="s">
        <v>207</v>
      </c>
      <c r="C113" s="51" t="s">
        <v>477</v>
      </c>
      <c r="D113" s="111">
        <v>3883.9</v>
      </c>
      <c r="E113" s="280">
        <v>3866.9</v>
      </c>
      <c r="F113" s="54">
        <f t="shared" si="31"/>
        <v>8043161.8799999999</v>
      </c>
      <c r="G113" s="54">
        <v>0</v>
      </c>
      <c r="H113" s="54">
        <f t="shared" si="32"/>
        <v>0</v>
      </c>
      <c r="I113" s="286">
        <f>4021580.94*2</f>
        <v>8043161.8799999999</v>
      </c>
      <c r="J113" s="54">
        <v>0</v>
      </c>
      <c r="K113" s="53">
        <f t="shared" si="35"/>
        <v>0</v>
      </c>
      <c r="L113" s="53">
        <v>0</v>
      </c>
      <c r="M113" s="53"/>
      <c r="N113" s="54">
        <v>0</v>
      </c>
      <c r="O113" s="53">
        <f t="shared" si="33"/>
        <v>0</v>
      </c>
      <c r="P113" s="54">
        <v>0</v>
      </c>
      <c r="Q113" s="53"/>
      <c r="R113" s="54">
        <v>0</v>
      </c>
      <c r="S113" s="54">
        <v>0</v>
      </c>
      <c r="T113" s="54">
        <v>0</v>
      </c>
      <c r="U113" s="54">
        <v>0</v>
      </c>
      <c r="V113" s="111">
        <f t="shared" si="34"/>
        <v>8043161.8799999999</v>
      </c>
      <c r="W113" s="71">
        <v>2017</v>
      </c>
      <c r="X113" s="71">
        <v>2017</v>
      </c>
      <c r="Y113" s="281" t="s">
        <v>154</v>
      </c>
      <c r="Z113" s="282">
        <v>9</v>
      </c>
      <c r="AA113" s="283" t="s">
        <v>169</v>
      </c>
    </row>
    <row r="114" spans="1:27" s="24" customFormat="1" ht="18" customHeight="1">
      <c r="A114" s="71">
        <f t="shared" si="30"/>
        <v>90</v>
      </c>
      <c r="B114" s="297" t="s">
        <v>255</v>
      </c>
      <c r="C114" s="51" t="s">
        <v>74</v>
      </c>
      <c r="D114" s="111">
        <v>1758.3</v>
      </c>
      <c r="E114" s="280">
        <v>1539.8</v>
      </c>
      <c r="F114" s="54">
        <f t="shared" si="31"/>
        <v>1358257.58</v>
      </c>
      <c r="G114" s="54">
        <v>0</v>
      </c>
      <c r="H114" s="54">
        <f t="shared" si="32"/>
        <v>0</v>
      </c>
      <c r="I114" s="54">
        <v>0</v>
      </c>
      <c r="J114" s="54">
        <v>0</v>
      </c>
      <c r="K114" s="53">
        <f t="shared" si="35"/>
        <v>0</v>
      </c>
      <c r="L114" s="53">
        <v>0</v>
      </c>
      <c r="M114" s="53"/>
      <c r="N114" s="53">
        <f t="shared" ref="N114:N115" si="37">ROUND(882.1*E114,2)</f>
        <v>1358257.58</v>
      </c>
      <c r="O114" s="53">
        <f t="shared" si="33"/>
        <v>882.1</v>
      </c>
      <c r="P114" s="54">
        <v>0</v>
      </c>
      <c r="Q114" s="53"/>
      <c r="R114" s="54">
        <v>0</v>
      </c>
      <c r="S114" s="54">
        <v>0</v>
      </c>
      <c r="T114" s="54">
        <v>0</v>
      </c>
      <c r="U114" s="54">
        <v>0</v>
      </c>
      <c r="V114" s="111">
        <f t="shared" si="34"/>
        <v>1358257.58</v>
      </c>
      <c r="W114" s="71">
        <v>2017</v>
      </c>
      <c r="X114" s="71">
        <v>2017</v>
      </c>
      <c r="Y114" s="281" t="s">
        <v>155</v>
      </c>
      <c r="Z114" s="282">
        <v>3</v>
      </c>
      <c r="AA114" s="283" t="s">
        <v>170</v>
      </c>
    </row>
    <row r="115" spans="1:27" s="24" customFormat="1" ht="18" customHeight="1">
      <c r="A115" s="71">
        <f t="shared" si="30"/>
        <v>91</v>
      </c>
      <c r="B115" s="297" t="s">
        <v>257</v>
      </c>
      <c r="C115" s="51" t="s">
        <v>78</v>
      </c>
      <c r="D115" s="111">
        <v>1999.2</v>
      </c>
      <c r="E115" s="280">
        <v>1559.7</v>
      </c>
      <c r="F115" s="54">
        <f t="shared" si="31"/>
        <v>4936076.18</v>
      </c>
      <c r="G115" s="54">
        <f>ROUND((151+215+321.45)*E115,2)</f>
        <v>1072215.77</v>
      </c>
      <c r="H115" s="54">
        <f t="shared" si="32"/>
        <v>687.45000320574468</v>
      </c>
      <c r="I115" s="54">
        <v>0</v>
      </c>
      <c r="J115" s="53">
        <f>ROUND(1595.21*E115,2)</f>
        <v>2488049.04</v>
      </c>
      <c r="K115" s="53">
        <f t="shared" si="35"/>
        <v>1595.2100019234467</v>
      </c>
      <c r="L115" s="53">
        <v>0</v>
      </c>
      <c r="M115" s="53"/>
      <c r="N115" s="53">
        <f t="shared" si="37"/>
        <v>1375811.37</v>
      </c>
      <c r="O115" s="53">
        <f t="shared" si="33"/>
        <v>882.1</v>
      </c>
      <c r="P115" s="54">
        <v>0</v>
      </c>
      <c r="Q115" s="53"/>
      <c r="R115" s="54">
        <v>0</v>
      </c>
      <c r="S115" s="54">
        <v>0</v>
      </c>
      <c r="T115" s="54">
        <v>0</v>
      </c>
      <c r="U115" s="54">
        <v>0</v>
      </c>
      <c r="V115" s="111">
        <f t="shared" si="34"/>
        <v>4936076.18</v>
      </c>
      <c r="W115" s="71">
        <v>2017</v>
      </c>
      <c r="X115" s="71">
        <v>2017</v>
      </c>
      <c r="Y115" s="281" t="s">
        <v>155</v>
      </c>
      <c r="Z115" s="282">
        <v>3</v>
      </c>
      <c r="AA115" s="283" t="s">
        <v>170</v>
      </c>
    </row>
    <row r="116" spans="1:27" s="24" customFormat="1" ht="18" customHeight="1">
      <c r="A116" s="71">
        <f t="shared" si="30"/>
        <v>92</v>
      </c>
      <c r="B116" s="297" t="s">
        <v>239</v>
      </c>
      <c r="C116" s="51" t="s">
        <v>98</v>
      </c>
      <c r="D116" s="111">
        <v>5741.3</v>
      </c>
      <c r="E116" s="280">
        <v>5692.3</v>
      </c>
      <c r="F116" s="54">
        <f t="shared" si="31"/>
        <v>5286211.32</v>
      </c>
      <c r="G116" s="54">
        <v>0</v>
      </c>
      <c r="H116" s="54">
        <f t="shared" si="32"/>
        <v>0</v>
      </c>
      <c r="I116" s="54">
        <v>0</v>
      </c>
      <c r="J116" s="41">
        <f>ROUND(928.66*E116,2)</f>
        <v>5286211.32</v>
      </c>
      <c r="K116" s="53">
        <f t="shared" si="35"/>
        <v>928.66000035135187</v>
      </c>
      <c r="L116" s="53">
        <v>0</v>
      </c>
      <c r="M116" s="53"/>
      <c r="N116" s="54">
        <v>0</v>
      </c>
      <c r="O116" s="53">
        <f t="shared" si="33"/>
        <v>0</v>
      </c>
      <c r="P116" s="54">
        <v>0</v>
      </c>
      <c r="Q116" s="53"/>
      <c r="R116" s="54">
        <v>0</v>
      </c>
      <c r="S116" s="54">
        <v>0</v>
      </c>
      <c r="T116" s="54">
        <v>0</v>
      </c>
      <c r="U116" s="54">
        <v>0</v>
      </c>
      <c r="V116" s="111">
        <f t="shared" si="34"/>
        <v>5286211.32</v>
      </c>
      <c r="W116" s="71">
        <v>2017</v>
      </c>
      <c r="X116" s="71">
        <v>2017</v>
      </c>
      <c r="Y116" s="281" t="s">
        <v>154</v>
      </c>
      <c r="Z116" s="282">
        <v>5</v>
      </c>
      <c r="AA116" s="283" t="s">
        <v>169</v>
      </c>
    </row>
    <row r="117" spans="1:27" s="24" customFormat="1" ht="36" customHeight="1">
      <c r="A117" s="71">
        <f t="shared" si="30"/>
        <v>93</v>
      </c>
      <c r="B117" s="304" t="s">
        <v>254</v>
      </c>
      <c r="C117" s="51" t="s">
        <v>18</v>
      </c>
      <c r="D117" s="111">
        <v>858.5</v>
      </c>
      <c r="E117" s="280">
        <v>632.20000000000005</v>
      </c>
      <c r="F117" s="54">
        <f t="shared" si="31"/>
        <v>1008491.76</v>
      </c>
      <c r="G117" s="54">
        <v>0</v>
      </c>
      <c r="H117" s="54">
        <f t="shared" si="32"/>
        <v>0</v>
      </c>
      <c r="I117" s="54">
        <v>0</v>
      </c>
      <c r="J117" s="53">
        <f>ROUND(1595.21*E117,2)</f>
        <v>1008491.76</v>
      </c>
      <c r="K117" s="53">
        <f t="shared" si="35"/>
        <v>1595.2099968364441</v>
      </c>
      <c r="L117" s="53">
        <v>0</v>
      </c>
      <c r="M117" s="53"/>
      <c r="N117" s="54">
        <v>0</v>
      </c>
      <c r="O117" s="53">
        <f t="shared" si="33"/>
        <v>0</v>
      </c>
      <c r="P117" s="54">
        <v>0</v>
      </c>
      <c r="Q117" s="53"/>
      <c r="R117" s="54">
        <v>0</v>
      </c>
      <c r="S117" s="54">
        <v>0</v>
      </c>
      <c r="T117" s="54">
        <v>0</v>
      </c>
      <c r="U117" s="54">
        <v>0</v>
      </c>
      <c r="V117" s="111">
        <f t="shared" si="34"/>
        <v>1008491.76</v>
      </c>
      <c r="W117" s="71">
        <v>2017</v>
      </c>
      <c r="X117" s="71">
        <v>2017</v>
      </c>
      <c r="Y117" s="281" t="s">
        <v>155</v>
      </c>
      <c r="Z117" s="282">
        <v>4</v>
      </c>
      <c r="AA117" s="283" t="s">
        <v>170</v>
      </c>
    </row>
    <row r="118" spans="1:27" s="24" customFormat="1" ht="18" customHeight="1">
      <c r="A118" s="71">
        <f t="shared" si="30"/>
        <v>94</v>
      </c>
      <c r="B118" s="297" t="s">
        <v>209</v>
      </c>
      <c r="C118" s="51" t="s">
        <v>102</v>
      </c>
      <c r="D118" s="111">
        <v>3603.7</v>
      </c>
      <c r="E118" s="280">
        <v>3339.9</v>
      </c>
      <c r="F118" s="54">
        <f t="shared" si="31"/>
        <v>4021580.94</v>
      </c>
      <c r="G118" s="54">
        <v>0</v>
      </c>
      <c r="H118" s="54">
        <f t="shared" si="32"/>
        <v>0</v>
      </c>
      <c r="I118" s="286">
        <v>4021580.94</v>
      </c>
      <c r="J118" s="54">
        <v>0</v>
      </c>
      <c r="K118" s="53">
        <f t="shared" si="35"/>
        <v>0</v>
      </c>
      <c r="L118" s="53">
        <v>0</v>
      </c>
      <c r="M118" s="53"/>
      <c r="N118" s="54">
        <v>0</v>
      </c>
      <c r="O118" s="53">
        <f t="shared" si="33"/>
        <v>0</v>
      </c>
      <c r="P118" s="54">
        <v>0</v>
      </c>
      <c r="Q118" s="53"/>
      <c r="R118" s="54">
        <v>0</v>
      </c>
      <c r="S118" s="54">
        <v>0</v>
      </c>
      <c r="T118" s="54">
        <v>0</v>
      </c>
      <c r="U118" s="54">
        <v>0</v>
      </c>
      <c r="V118" s="111">
        <f t="shared" si="34"/>
        <v>4021580.94</v>
      </c>
      <c r="W118" s="71">
        <v>2017</v>
      </c>
      <c r="X118" s="71">
        <v>2017</v>
      </c>
      <c r="Y118" s="281" t="s">
        <v>154</v>
      </c>
      <c r="Z118" s="282">
        <v>9</v>
      </c>
      <c r="AA118" s="283" t="s">
        <v>169</v>
      </c>
    </row>
    <row r="119" spans="1:27" s="24" customFormat="1" ht="18" customHeight="1">
      <c r="A119" s="71">
        <f t="shared" si="30"/>
        <v>95</v>
      </c>
      <c r="B119" s="297" t="s">
        <v>258</v>
      </c>
      <c r="C119" s="51" t="s">
        <v>100</v>
      </c>
      <c r="D119" s="111">
        <v>3847.9</v>
      </c>
      <c r="E119" s="280">
        <v>2412.1</v>
      </c>
      <c r="F119" s="54">
        <f t="shared" si="31"/>
        <v>1658198.15</v>
      </c>
      <c r="G119" s="54">
        <f>ROUND((151+215+321.45)*E119,2)</f>
        <v>1658198.15</v>
      </c>
      <c r="H119" s="54">
        <f t="shared" si="32"/>
        <v>687.45000207288251</v>
      </c>
      <c r="I119" s="54">
        <v>0</v>
      </c>
      <c r="J119" s="54">
        <v>0</v>
      </c>
      <c r="K119" s="53">
        <f t="shared" si="35"/>
        <v>0</v>
      </c>
      <c r="L119" s="53">
        <v>0</v>
      </c>
      <c r="M119" s="53"/>
      <c r="N119" s="54">
        <v>0</v>
      </c>
      <c r="O119" s="53">
        <f t="shared" si="33"/>
        <v>0</v>
      </c>
      <c r="P119" s="54">
        <v>0</v>
      </c>
      <c r="Q119" s="53"/>
      <c r="R119" s="54">
        <v>0</v>
      </c>
      <c r="S119" s="54">
        <v>0</v>
      </c>
      <c r="T119" s="54">
        <v>0</v>
      </c>
      <c r="U119" s="54">
        <v>0</v>
      </c>
      <c r="V119" s="111">
        <f t="shared" si="34"/>
        <v>1658198.15</v>
      </c>
      <c r="W119" s="71">
        <v>2017</v>
      </c>
      <c r="X119" s="71">
        <v>2017</v>
      </c>
      <c r="Y119" s="281" t="s">
        <v>155</v>
      </c>
      <c r="Z119" s="282">
        <v>5</v>
      </c>
      <c r="AA119" s="283" t="s">
        <v>169</v>
      </c>
    </row>
    <row r="120" spans="1:27" s="24" customFormat="1" ht="33" customHeight="1">
      <c r="A120" s="71">
        <f t="shared" si="30"/>
        <v>96</v>
      </c>
      <c r="B120" s="304" t="s">
        <v>250</v>
      </c>
      <c r="C120" s="51" t="s">
        <v>24</v>
      </c>
      <c r="D120" s="111">
        <v>3456.9</v>
      </c>
      <c r="E120" s="280">
        <v>3440.6</v>
      </c>
      <c r="F120" s="54">
        <f t="shared" si="31"/>
        <v>707249.74</v>
      </c>
      <c r="G120" s="54">
        <f>ROUND(205.56*E120,2)</f>
        <v>707249.74</v>
      </c>
      <c r="H120" s="54">
        <f t="shared" si="32"/>
        <v>205.56000116258792</v>
      </c>
      <c r="I120" s="54">
        <v>0</v>
      </c>
      <c r="J120" s="54">
        <v>0</v>
      </c>
      <c r="K120" s="53">
        <f t="shared" si="35"/>
        <v>0</v>
      </c>
      <c r="L120" s="53">
        <v>0</v>
      </c>
      <c r="M120" s="53"/>
      <c r="N120" s="54">
        <v>0</v>
      </c>
      <c r="O120" s="53">
        <f t="shared" si="33"/>
        <v>0</v>
      </c>
      <c r="P120" s="54">
        <v>0</v>
      </c>
      <c r="Q120" s="53"/>
      <c r="R120" s="54">
        <v>0</v>
      </c>
      <c r="S120" s="54">
        <v>0</v>
      </c>
      <c r="T120" s="54">
        <v>0</v>
      </c>
      <c r="U120" s="54">
        <v>0</v>
      </c>
      <c r="V120" s="111">
        <f t="shared" si="34"/>
        <v>707249.74</v>
      </c>
      <c r="W120" s="71">
        <v>2017</v>
      </c>
      <c r="X120" s="71">
        <v>2017</v>
      </c>
      <c r="Y120" s="281" t="s">
        <v>154</v>
      </c>
      <c r="Z120" s="282">
        <v>5</v>
      </c>
      <c r="AA120" s="283" t="s">
        <v>169</v>
      </c>
    </row>
    <row r="121" spans="1:27" s="24" customFormat="1" ht="33" customHeight="1">
      <c r="A121" s="71">
        <f t="shared" si="30"/>
        <v>97</v>
      </c>
      <c r="B121" s="304" t="s">
        <v>467</v>
      </c>
      <c r="C121" s="51" t="s">
        <v>94</v>
      </c>
      <c r="D121" s="111">
        <v>3470.7</v>
      </c>
      <c r="E121" s="280">
        <v>3365.6</v>
      </c>
      <c r="F121" s="54">
        <f t="shared" si="31"/>
        <v>569021.99</v>
      </c>
      <c r="G121" s="54">
        <f>ROUND(169.07*E121,2)</f>
        <v>569021.99</v>
      </c>
      <c r="H121" s="54">
        <f t="shared" si="32"/>
        <v>169.06999940575233</v>
      </c>
      <c r="I121" s="302">
        <v>0</v>
      </c>
      <c r="J121" s="54">
        <v>0</v>
      </c>
      <c r="K121" s="53">
        <f t="shared" si="35"/>
        <v>0</v>
      </c>
      <c r="L121" s="53">
        <v>0</v>
      </c>
      <c r="M121" s="53"/>
      <c r="N121" s="54">
        <v>0</v>
      </c>
      <c r="O121" s="53">
        <f t="shared" si="33"/>
        <v>0</v>
      </c>
      <c r="P121" s="54">
        <v>0</v>
      </c>
      <c r="Q121" s="53"/>
      <c r="R121" s="54">
        <v>0</v>
      </c>
      <c r="S121" s="54">
        <v>0</v>
      </c>
      <c r="T121" s="54">
        <v>0</v>
      </c>
      <c r="U121" s="54">
        <v>0</v>
      </c>
      <c r="V121" s="111">
        <f t="shared" si="34"/>
        <v>569021.99</v>
      </c>
      <c r="W121" s="71">
        <v>2017</v>
      </c>
      <c r="X121" s="71">
        <v>2017</v>
      </c>
      <c r="Y121" s="281" t="s">
        <v>154</v>
      </c>
      <c r="Z121" s="282">
        <v>9</v>
      </c>
      <c r="AA121" s="283" t="s">
        <v>169</v>
      </c>
    </row>
    <row r="122" spans="1:27" s="24" customFormat="1" ht="33" customHeight="1">
      <c r="A122" s="71">
        <f t="shared" si="30"/>
        <v>98</v>
      </c>
      <c r="B122" s="304" t="s">
        <v>262</v>
      </c>
      <c r="C122" s="51" t="s">
        <v>98</v>
      </c>
      <c r="D122" s="111">
        <v>4104.1000000000004</v>
      </c>
      <c r="E122" s="280">
        <v>4074.4</v>
      </c>
      <c r="F122" s="54">
        <f t="shared" si="31"/>
        <v>8043161.8799999999</v>
      </c>
      <c r="G122" s="54">
        <v>0</v>
      </c>
      <c r="H122" s="54">
        <f t="shared" si="32"/>
        <v>0</v>
      </c>
      <c r="I122" s="286">
        <f>4021580.94*2</f>
        <v>8043161.8799999999</v>
      </c>
      <c r="J122" s="54">
        <v>0</v>
      </c>
      <c r="K122" s="53">
        <f t="shared" si="35"/>
        <v>0</v>
      </c>
      <c r="L122" s="53">
        <v>0</v>
      </c>
      <c r="M122" s="53"/>
      <c r="N122" s="54">
        <v>0</v>
      </c>
      <c r="O122" s="53">
        <f t="shared" si="33"/>
        <v>0</v>
      </c>
      <c r="P122" s="54">
        <v>0</v>
      </c>
      <c r="Q122" s="53"/>
      <c r="R122" s="54">
        <v>0</v>
      </c>
      <c r="S122" s="54">
        <v>0</v>
      </c>
      <c r="T122" s="54">
        <v>0</v>
      </c>
      <c r="U122" s="54">
        <v>0</v>
      </c>
      <c r="V122" s="111">
        <f t="shared" si="34"/>
        <v>8043161.8799999999</v>
      </c>
      <c r="W122" s="71">
        <v>2017</v>
      </c>
      <c r="X122" s="71">
        <v>2017</v>
      </c>
      <c r="Y122" s="281" t="s">
        <v>154</v>
      </c>
      <c r="Z122" s="282">
        <v>9</v>
      </c>
      <c r="AA122" s="283" t="s">
        <v>169</v>
      </c>
    </row>
    <row r="123" spans="1:27" s="24" customFormat="1" ht="18" customHeight="1">
      <c r="A123" s="71">
        <f t="shared" si="30"/>
        <v>99</v>
      </c>
      <c r="B123" s="297" t="s">
        <v>190</v>
      </c>
      <c r="C123" s="51" t="s">
        <v>119</v>
      </c>
      <c r="D123" s="111">
        <v>1764.2</v>
      </c>
      <c r="E123" s="280">
        <v>1641.4</v>
      </c>
      <c r="F123" s="54">
        <f t="shared" si="31"/>
        <v>1524302.52</v>
      </c>
      <c r="G123" s="54">
        <v>0</v>
      </c>
      <c r="H123" s="54">
        <f t="shared" si="32"/>
        <v>0</v>
      </c>
      <c r="I123" s="54">
        <v>0</v>
      </c>
      <c r="J123" s="41">
        <f>ROUND(928.66*E123,2)</f>
        <v>1524302.52</v>
      </c>
      <c r="K123" s="53">
        <f t="shared" si="35"/>
        <v>928.65999756305587</v>
      </c>
      <c r="L123" s="53">
        <v>0</v>
      </c>
      <c r="M123" s="53"/>
      <c r="N123" s="54">
        <v>0</v>
      </c>
      <c r="O123" s="53">
        <f t="shared" si="33"/>
        <v>0</v>
      </c>
      <c r="P123" s="54">
        <v>0</v>
      </c>
      <c r="Q123" s="53"/>
      <c r="R123" s="54">
        <v>0</v>
      </c>
      <c r="S123" s="54">
        <v>0</v>
      </c>
      <c r="T123" s="54">
        <v>0</v>
      </c>
      <c r="U123" s="54">
        <v>0</v>
      </c>
      <c r="V123" s="111">
        <f t="shared" si="34"/>
        <v>1524302.52</v>
      </c>
      <c r="W123" s="71">
        <v>2017</v>
      </c>
      <c r="X123" s="71">
        <v>2017</v>
      </c>
      <c r="Y123" s="281" t="s">
        <v>154</v>
      </c>
      <c r="Z123" s="282">
        <v>5</v>
      </c>
      <c r="AA123" s="283" t="s">
        <v>169</v>
      </c>
    </row>
    <row r="124" spans="1:27" s="24" customFormat="1" ht="18" customHeight="1">
      <c r="A124" s="71">
        <f t="shared" si="30"/>
        <v>100</v>
      </c>
      <c r="B124" s="297" t="s">
        <v>191</v>
      </c>
      <c r="C124" s="51" t="s">
        <v>74</v>
      </c>
      <c r="D124" s="111">
        <v>1572.9</v>
      </c>
      <c r="E124" s="280">
        <v>1392.7</v>
      </c>
      <c r="F124" s="54">
        <f t="shared" si="31"/>
        <v>1273679.8600000001</v>
      </c>
      <c r="G124" s="54">
        <v>0</v>
      </c>
      <c r="H124" s="54">
        <f t="shared" si="32"/>
        <v>0</v>
      </c>
      <c r="I124" s="54">
        <v>0</v>
      </c>
      <c r="J124" s="76">
        <f>ROUND(914.54*E124,2)</f>
        <v>1273679.8600000001</v>
      </c>
      <c r="K124" s="53">
        <f t="shared" si="35"/>
        <v>914.54000143605947</v>
      </c>
      <c r="L124" s="53">
        <v>0</v>
      </c>
      <c r="M124" s="53"/>
      <c r="N124" s="54">
        <v>0</v>
      </c>
      <c r="O124" s="53">
        <f t="shared" si="33"/>
        <v>0</v>
      </c>
      <c r="P124" s="54">
        <v>0</v>
      </c>
      <c r="Q124" s="53"/>
      <c r="R124" s="54">
        <v>0</v>
      </c>
      <c r="S124" s="54">
        <v>0</v>
      </c>
      <c r="T124" s="54">
        <v>0</v>
      </c>
      <c r="U124" s="54">
        <v>0</v>
      </c>
      <c r="V124" s="111">
        <f t="shared" si="34"/>
        <v>1273679.8600000001</v>
      </c>
      <c r="W124" s="71">
        <v>2017</v>
      </c>
      <c r="X124" s="71">
        <v>2017</v>
      </c>
      <c r="Y124" s="281" t="s">
        <v>155</v>
      </c>
      <c r="Z124" s="282">
        <v>5</v>
      </c>
      <c r="AA124" s="283" t="s">
        <v>169</v>
      </c>
    </row>
    <row r="125" spans="1:27" s="24" customFormat="1" ht="18" customHeight="1">
      <c r="A125" s="71">
        <f t="shared" si="30"/>
        <v>101</v>
      </c>
      <c r="B125" s="297" t="s">
        <v>188</v>
      </c>
      <c r="C125" s="51" t="s">
        <v>119</v>
      </c>
      <c r="D125" s="111">
        <v>2714.8</v>
      </c>
      <c r="E125" s="280">
        <v>2500.5</v>
      </c>
      <c r="F125" s="54">
        <f t="shared" si="31"/>
        <v>2322114.33</v>
      </c>
      <c r="G125" s="54">
        <v>0</v>
      </c>
      <c r="H125" s="54">
        <f t="shared" si="32"/>
        <v>0</v>
      </c>
      <c r="I125" s="54">
        <v>0</v>
      </c>
      <c r="J125" s="41">
        <f>ROUND(928.66*E125,2)</f>
        <v>2322114.33</v>
      </c>
      <c r="K125" s="53">
        <f t="shared" si="35"/>
        <v>928.66000000000008</v>
      </c>
      <c r="L125" s="53">
        <v>0</v>
      </c>
      <c r="M125" s="53"/>
      <c r="N125" s="54">
        <v>0</v>
      </c>
      <c r="O125" s="53">
        <f t="shared" si="33"/>
        <v>0</v>
      </c>
      <c r="P125" s="54">
        <v>0</v>
      </c>
      <c r="Q125" s="53"/>
      <c r="R125" s="54">
        <v>0</v>
      </c>
      <c r="S125" s="54">
        <v>0</v>
      </c>
      <c r="T125" s="54">
        <v>0</v>
      </c>
      <c r="U125" s="54">
        <v>0</v>
      </c>
      <c r="V125" s="111">
        <f t="shared" si="34"/>
        <v>2322114.33</v>
      </c>
      <c r="W125" s="71">
        <v>2017</v>
      </c>
      <c r="X125" s="71">
        <v>2017</v>
      </c>
      <c r="Y125" s="281" t="s">
        <v>154</v>
      </c>
      <c r="Z125" s="282">
        <v>5</v>
      </c>
      <c r="AA125" s="305" t="s">
        <v>169</v>
      </c>
    </row>
    <row r="126" spans="1:27" s="24" customFormat="1" ht="18" customHeight="1">
      <c r="A126" s="71">
        <f t="shared" si="30"/>
        <v>102</v>
      </c>
      <c r="B126" s="297" t="s">
        <v>187</v>
      </c>
      <c r="C126" s="40" t="s">
        <v>66</v>
      </c>
      <c r="D126" s="111">
        <v>692.2</v>
      </c>
      <c r="E126" s="280">
        <v>643.79999999999995</v>
      </c>
      <c r="F126" s="54">
        <f t="shared" si="31"/>
        <v>1026996.2</v>
      </c>
      <c r="G126" s="54">
        <v>0</v>
      </c>
      <c r="H126" s="54">
        <f t="shared" si="32"/>
        <v>0</v>
      </c>
      <c r="I126" s="54">
        <v>0</v>
      </c>
      <c r="J126" s="53">
        <f>ROUND(1595.21*E126,2)</f>
        <v>1026996.2</v>
      </c>
      <c r="K126" s="53">
        <f t="shared" si="35"/>
        <v>1595.210003106555</v>
      </c>
      <c r="L126" s="54">
        <v>0</v>
      </c>
      <c r="M126" s="54"/>
      <c r="N126" s="54">
        <v>0</v>
      </c>
      <c r="O126" s="53">
        <f t="shared" si="33"/>
        <v>0</v>
      </c>
      <c r="P126" s="54">
        <v>0</v>
      </c>
      <c r="Q126" s="54"/>
      <c r="R126" s="54">
        <v>0</v>
      </c>
      <c r="S126" s="54">
        <v>0</v>
      </c>
      <c r="T126" s="54">
        <v>0</v>
      </c>
      <c r="U126" s="54">
        <v>0</v>
      </c>
      <c r="V126" s="111">
        <f t="shared" si="34"/>
        <v>1026996.2</v>
      </c>
      <c r="W126" s="71">
        <v>2017</v>
      </c>
      <c r="X126" s="71">
        <v>2017</v>
      </c>
      <c r="Y126" s="281" t="s">
        <v>155</v>
      </c>
      <c r="Z126" s="282">
        <v>2</v>
      </c>
      <c r="AA126" s="283" t="s">
        <v>170</v>
      </c>
    </row>
    <row r="127" spans="1:27" s="24" customFormat="1" ht="18" customHeight="1">
      <c r="A127" s="71">
        <f t="shared" ref="A127:A193" si="38">A126+1</f>
        <v>103</v>
      </c>
      <c r="B127" s="297" t="s">
        <v>189</v>
      </c>
      <c r="C127" s="51" t="s">
        <v>66</v>
      </c>
      <c r="D127" s="111">
        <v>2559.6</v>
      </c>
      <c r="E127" s="280">
        <v>2551.1999999999998</v>
      </c>
      <c r="F127" s="54">
        <f t="shared" si="31"/>
        <v>2369197.39</v>
      </c>
      <c r="G127" s="54">
        <v>0</v>
      </c>
      <c r="H127" s="54">
        <f t="shared" si="32"/>
        <v>0</v>
      </c>
      <c r="I127" s="54">
        <v>0</v>
      </c>
      <c r="J127" s="41">
        <f>ROUND(928.66*E127,2)</f>
        <v>2369197.39</v>
      </c>
      <c r="K127" s="53">
        <f t="shared" si="35"/>
        <v>928.65999921605533</v>
      </c>
      <c r="L127" s="53">
        <v>0</v>
      </c>
      <c r="M127" s="53"/>
      <c r="N127" s="54">
        <v>0</v>
      </c>
      <c r="O127" s="53">
        <f t="shared" si="33"/>
        <v>0</v>
      </c>
      <c r="P127" s="54">
        <v>0</v>
      </c>
      <c r="Q127" s="53"/>
      <c r="R127" s="54">
        <v>0</v>
      </c>
      <c r="S127" s="54">
        <v>0</v>
      </c>
      <c r="T127" s="54">
        <v>0</v>
      </c>
      <c r="U127" s="54">
        <v>0</v>
      </c>
      <c r="V127" s="111">
        <f t="shared" si="34"/>
        <v>2369197.39</v>
      </c>
      <c r="W127" s="71">
        <v>2017</v>
      </c>
      <c r="X127" s="71">
        <v>2017</v>
      </c>
      <c r="Y127" s="281" t="s">
        <v>154</v>
      </c>
      <c r="Z127" s="282">
        <v>5</v>
      </c>
      <c r="AA127" s="305" t="s">
        <v>169</v>
      </c>
    </row>
    <row r="128" spans="1:27" s="24" customFormat="1" ht="18" customHeight="1">
      <c r="A128" s="71">
        <f t="shared" si="38"/>
        <v>104</v>
      </c>
      <c r="B128" s="297" t="s">
        <v>47</v>
      </c>
      <c r="C128" s="51" t="s">
        <v>96</v>
      </c>
      <c r="D128" s="111">
        <v>1589.7</v>
      </c>
      <c r="E128" s="280">
        <v>1589.7</v>
      </c>
      <c r="F128" s="54">
        <f t="shared" si="31"/>
        <v>360178.33</v>
      </c>
      <c r="G128" s="54">
        <v>0</v>
      </c>
      <c r="H128" s="54">
        <f t="shared" si="32"/>
        <v>0</v>
      </c>
      <c r="I128" s="54">
        <v>0</v>
      </c>
      <c r="J128" s="54">
        <v>0</v>
      </c>
      <c r="K128" s="53">
        <f t="shared" si="35"/>
        <v>0</v>
      </c>
      <c r="L128" s="53">
        <v>0</v>
      </c>
      <c r="M128" s="53"/>
      <c r="N128" s="54">
        <f>ROUND(226.57*E128,2)</f>
        <v>360178.33</v>
      </c>
      <c r="O128" s="53">
        <f t="shared" si="33"/>
        <v>226.5700006290495</v>
      </c>
      <c r="P128" s="54">
        <v>0</v>
      </c>
      <c r="Q128" s="53"/>
      <c r="R128" s="54">
        <v>0</v>
      </c>
      <c r="S128" s="54">
        <v>0</v>
      </c>
      <c r="T128" s="54">
        <v>0</v>
      </c>
      <c r="U128" s="54">
        <v>0</v>
      </c>
      <c r="V128" s="111">
        <f t="shared" si="34"/>
        <v>360178.33</v>
      </c>
      <c r="W128" s="71">
        <v>2017</v>
      </c>
      <c r="X128" s="71">
        <v>2017</v>
      </c>
      <c r="Y128" s="281" t="s">
        <v>154</v>
      </c>
      <c r="Z128" s="282">
        <v>5</v>
      </c>
      <c r="AA128" s="283" t="s">
        <v>170</v>
      </c>
    </row>
    <row r="129" spans="1:27" s="24" customFormat="1" ht="18" customHeight="1">
      <c r="A129" s="71">
        <f t="shared" si="38"/>
        <v>105</v>
      </c>
      <c r="B129" s="297" t="s">
        <v>245</v>
      </c>
      <c r="C129" s="51" t="s">
        <v>74</v>
      </c>
      <c r="D129" s="111">
        <v>5829</v>
      </c>
      <c r="E129" s="280">
        <v>4469.2</v>
      </c>
      <c r="F129" s="54">
        <f t="shared" si="31"/>
        <v>7014632.8599999994</v>
      </c>
      <c r="G129" s="54">
        <f>ROUND((151+215+321.45)*E129,2)</f>
        <v>3072351.54</v>
      </c>
      <c r="H129" s="54">
        <f t="shared" si="32"/>
        <v>687.45</v>
      </c>
      <c r="I129" s="54">
        <v>0</v>
      </c>
      <c r="J129" s="54">
        <v>0</v>
      </c>
      <c r="K129" s="53">
        <f t="shared" si="35"/>
        <v>0</v>
      </c>
      <c r="L129" s="53">
        <v>0</v>
      </c>
      <c r="M129" s="53"/>
      <c r="N129" s="53">
        <f>ROUND(882.1*E129,2)</f>
        <v>3942281.32</v>
      </c>
      <c r="O129" s="53">
        <f t="shared" si="33"/>
        <v>882.1</v>
      </c>
      <c r="P129" s="54">
        <v>0</v>
      </c>
      <c r="Q129" s="53"/>
      <c r="R129" s="54">
        <v>0</v>
      </c>
      <c r="S129" s="54">
        <v>0</v>
      </c>
      <c r="T129" s="54">
        <v>0</v>
      </c>
      <c r="U129" s="54">
        <v>0</v>
      </c>
      <c r="V129" s="111">
        <f t="shared" si="34"/>
        <v>7014632.8599999994</v>
      </c>
      <c r="W129" s="71">
        <v>2017</v>
      </c>
      <c r="X129" s="71">
        <v>2017</v>
      </c>
      <c r="Y129" s="281" t="s">
        <v>155</v>
      </c>
      <c r="Z129" s="282">
        <v>5</v>
      </c>
      <c r="AA129" s="283" t="s">
        <v>170</v>
      </c>
    </row>
    <row r="130" spans="1:27" s="24" customFormat="1" ht="18" customHeight="1">
      <c r="A130" s="71">
        <f t="shared" si="38"/>
        <v>106</v>
      </c>
      <c r="B130" s="297" t="s">
        <v>243</v>
      </c>
      <c r="C130" s="51" t="s">
        <v>84</v>
      </c>
      <c r="D130" s="111">
        <v>5253.5</v>
      </c>
      <c r="E130" s="280">
        <v>4538.2</v>
      </c>
      <c r="F130" s="54">
        <f t="shared" ref="F130:F161" si="39">G130+I130+J130+L130+N130+P130+R130</f>
        <v>975713</v>
      </c>
      <c r="G130" s="54">
        <f>ROUND(215*E130,2)</f>
        <v>975713</v>
      </c>
      <c r="H130" s="54">
        <f t="shared" ref="H130:H161" si="40">G130/E130</f>
        <v>215</v>
      </c>
      <c r="I130" s="54">
        <v>0</v>
      </c>
      <c r="J130" s="54">
        <v>0</v>
      </c>
      <c r="K130" s="53">
        <f t="shared" si="35"/>
        <v>0</v>
      </c>
      <c r="L130" s="53">
        <v>0</v>
      </c>
      <c r="M130" s="53"/>
      <c r="N130" s="54">
        <v>0</v>
      </c>
      <c r="O130" s="53">
        <f t="shared" ref="O130:O161" si="41">N130/E130</f>
        <v>0</v>
      </c>
      <c r="P130" s="54">
        <v>0</v>
      </c>
      <c r="Q130" s="53"/>
      <c r="R130" s="54">
        <v>0</v>
      </c>
      <c r="S130" s="54">
        <v>0</v>
      </c>
      <c r="T130" s="54">
        <v>0</v>
      </c>
      <c r="U130" s="54">
        <v>0</v>
      </c>
      <c r="V130" s="111">
        <f t="shared" ref="V130:V161" si="42">F130</f>
        <v>975713</v>
      </c>
      <c r="W130" s="71">
        <v>2017</v>
      </c>
      <c r="X130" s="71">
        <v>2017</v>
      </c>
      <c r="Y130" s="281" t="s">
        <v>155</v>
      </c>
      <c r="Z130" s="282">
        <v>5</v>
      </c>
      <c r="AA130" s="283" t="s">
        <v>169</v>
      </c>
    </row>
    <row r="131" spans="1:27" s="24" customFormat="1" ht="18" customHeight="1">
      <c r="A131" s="71">
        <f t="shared" si="38"/>
        <v>107</v>
      </c>
      <c r="B131" s="297" t="s">
        <v>246</v>
      </c>
      <c r="C131" s="51" t="s">
        <v>58</v>
      </c>
      <c r="D131" s="111">
        <v>3340.2</v>
      </c>
      <c r="E131" s="280">
        <v>3094.1</v>
      </c>
      <c r="F131" s="54">
        <f t="shared" si="39"/>
        <v>2829678.21</v>
      </c>
      <c r="G131" s="54">
        <v>0</v>
      </c>
      <c r="H131" s="54">
        <f t="shared" si="40"/>
        <v>0</v>
      </c>
      <c r="I131" s="54">
        <v>0</v>
      </c>
      <c r="J131" s="76">
        <f>ROUND(914.54*E131,2)</f>
        <v>2829678.21</v>
      </c>
      <c r="K131" s="53">
        <f t="shared" si="35"/>
        <v>914.53999870721702</v>
      </c>
      <c r="L131" s="53">
        <v>0</v>
      </c>
      <c r="M131" s="53"/>
      <c r="N131" s="54">
        <v>0</v>
      </c>
      <c r="O131" s="53">
        <f t="shared" si="41"/>
        <v>0</v>
      </c>
      <c r="P131" s="54">
        <v>0</v>
      </c>
      <c r="Q131" s="53"/>
      <c r="R131" s="54">
        <v>0</v>
      </c>
      <c r="S131" s="54">
        <v>0</v>
      </c>
      <c r="T131" s="54">
        <v>0</v>
      </c>
      <c r="U131" s="54">
        <v>0</v>
      </c>
      <c r="V131" s="111">
        <f t="shared" si="42"/>
        <v>2829678.21</v>
      </c>
      <c r="W131" s="71">
        <v>2017</v>
      </c>
      <c r="X131" s="71">
        <v>2017</v>
      </c>
      <c r="Y131" s="281" t="s">
        <v>155</v>
      </c>
      <c r="Z131" s="282">
        <v>6</v>
      </c>
      <c r="AA131" s="283" t="s">
        <v>169</v>
      </c>
    </row>
    <row r="132" spans="1:27" s="24" customFormat="1" ht="18" customHeight="1">
      <c r="A132" s="71">
        <f t="shared" si="38"/>
        <v>108</v>
      </c>
      <c r="B132" s="297" t="s">
        <v>244</v>
      </c>
      <c r="C132" s="51" t="s">
        <v>96</v>
      </c>
      <c r="D132" s="111">
        <v>3957</v>
      </c>
      <c r="E132" s="280">
        <v>3912.6</v>
      </c>
      <c r="F132" s="54">
        <f t="shared" si="39"/>
        <v>841209</v>
      </c>
      <c r="G132" s="54">
        <v>841209</v>
      </c>
      <c r="H132" s="54">
        <f t="shared" si="40"/>
        <v>215</v>
      </c>
      <c r="I132" s="54">
        <v>0</v>
      </c>
      <c r="J132" s="54">
        <v>0</v>
      </c>
      <c r="K132" s="53">
        <f t="shared" si="35"/>
        <v>0</v>
      </c>
      <c r="L132" s="53">
        <v>0</v>
      </c>
      <c r="M132" s="53"/>
      <c r="N132" s="54">
        <v>0</v>
      </c>
      <c r="O132" s="53">
        <f t="shared" si="41"/>
        <v>0</v>
      </c>
      <c r="P132" s="54">
        <v>0</v>
      </c>
      <c r="Q132" s="53"/>
      <c r="R132" s="54">
        <v>0</v>
      </c>
      <c r="S132" s="54">
        <v>0</v>
      </c>
      <c r="T132" s="54">
        <v>0</v>
      </c>
      <c r="U132" s="54">
        <v>0</v>
      </c>
      <c r="V132" s="111">
        <f t="shared" si="42"/>
        <v>841209</v>
      </c>
      <c r="W132" s="71">
        <v>2017</v>
      </c>
      <c r="X132" s="71">
        <v>2017</v>
      </c>
      <c r="Y132" s="281" t="s">
        <v>155</v>
      </c>
      <c r="Z132" s="282">
        <v>5</v>
      </c>
      <c r="AA132" s="283" t="s">
        <v>169</v>
      </c>
    </row>
    <row r="133" spans="1:27" s="24" customFormat="1" ht="18" customHeight="1">
      <c r="A133" s="71">
        <f t="shared" si="38"/>
        <v>109</v>
      </c>
      <c r="B133" s="297" t="s">
        <v>247</v>
      </c>
      <c r="C133" s="51" t="s">
        <v>95</v>
      </c>
      <c r="D133" s="111">
        <v>7523.1</v>
      </c>
      <c r="E133" s="280">
        <v>7475.8</v>
      </c>
      <c r="F133" s="54">
        <f t="shared" si="39"/>
        <v>4555603</v>
      </c>
      <c r="G133" s="54">
        <v>0</v>
      </c>
      <c r="H133" s="54">
        <f t="shared" si="40"/>
        <v>0</v>
      </c>
      <c r="I133" s="54">
        <v>0</v>
      </c>
      <c r="J133" s="53">
        <f>ROUND(609.38*E133,2)</f>
        <v>4555603</v>
      </c>
      <c r="K133" s="53">
        <f t="shared" si="35"/>
        <v>609.37999946494017</v>
      </c>
      <c r="L133" s="53">
        <v>0</v>
      </c>
      <c r="M133" s="53"/>
      <c r="N133" s="54">
        <v>0</v>
      </c>
      <c r="O133" s="53">
        <f t="shared" si="41"/>
        <v>0</v>
      </c>
      <c r="P133" s="54">
        <v>0</v>
      </c>
      <c r="Q133" s="53"/>
      <c r="R133" s="54">
        <v>0</v>
      </c>
      <c r="S133" s="54">
        <v>0</v>
      </c>
      <c r="T133" s="54">
        <v>0</v>
      </c>
      <c r="U133" s="54">
        <v>0</v>
      </c>
      <c r="V133" s="111">
        <f t="shared" si="42"/>
        <v>4555603</v>
      </c>
      <c r="W133" s="71">
        <v>2017</v>
      </c>
      <c r="X133" s="71">
        <v>2017</v>
      </c>
      <c r="Y133" s="281" t="s">
        <v>154</v>
      </c>
      <c r="Z133" s="282">
        <v>9</v>
      </c>
      <c r="AA133" s="283" t="s">
        <v>169</v>
      </c>
    </row>
    <row r="134" spans="1:27" s="24" customFormat="1" ht="18" customHeight="1">
      <c r="A134" s="71">
        <f t="shared" si="38"/>
        <v>110</v>
      </c>
      <c r="B134" s="297" t="s">
        <v>248</v>
      </c>
      <c r="C134" s="51" t="s">
        <v>95</v>
      </c>
      <c r="D134" s="111">
        <v>4084.5</v>
      </c>
      <c r="E134" s="280">
        <v>3805.9</v>
      </c>
      <c r="F134" s="54">
        <f t="shared" si="39"/>
        <v>643463.51</v>
      </c>
      <c r="G134" s="54">
        <v>643463.51</v>
      </c>
      <c r="H134" s="54">
        <f t="shared" si="40"/>
        <v>169.06999921175017</v>
      </c>
      <c r="I134" s="54">
        <v>0</v>
      </c>
      <c r="J134" s="54">
        <v>0</v>
      </c>
      <c r="K134" s="53">
        <f t="shared" si="35"/>
        <v>0</v>
      </c>
      <c r="L134" s="53">
        <v>0</v>
      </c>
      <c r="M134" s="53"/>
      <c r="N134" s="54">
        <v>0</v>
      </c>
      <c r="O134" s="53">
        <f t="shared" si="41"/>
        <v>0</v>
      </c>
      <c r="P134" s="54">
        <v>0</v>
      </c>
      <c r="Q134" s="53"/>
      <c r="R134" s="54">
        <v>0</v>
      </c>
      <c r="S134" s="54">
        <v>0</v>
      </c>
      <c r="T134" s="54">
        <v>0</v>
      </c>
      <c r="U134" s="54">
        <v>0</v>
      </c>
      <c r="V134" s="111">
        <f t="shared" si="42"/>
        <v>643463.51</v>
      </c>
      <c r="W134" s="71">
        <v>2017</v>
      </c>
      <c r="X134" s="71">
        <v>2017</v>
      </c>
      <c r="Y134" s="281" t="s">
        <v>154</v>
      </c>
      <c r="Z134" s="282">
        <v>9</v>
      </c>
      <c r="AA134" s="283" t="s">
        <v>169</v>
      </c>
    </row>
    <row r="135" spans="1:27" s="24" customFormat="1" ht="18" customHeight="1">
      <c r="A135" s="71">
        <f t="shared" si="38"/>
        <v>111</v>
      </c>
      <c r="B135" s="297" t="s">
        <v>252</v>
      </c>
      <c r="C135" s="51" t="s">
        <v>66</v>
      </c>
      <c r="D135" s="111">
        <v>2535</v>
      </c>
      <c r="E135" s="280">
        <v>2372.3000000000002</v>
      </c>
      <c r="F135" s="54">
        <f t="shared" si="39"/>
        <v>510044.5</v>
      </c>
      <c r="G135" s="54">
        <f>ROUND(215*E135,2)</f>
        <v>510044.5</v>
      </c>
      <c r="H135" s="54">
        <f t="shared" si="40"/>
        <v>214.99999999999997</v>
      </c>
      <c r="I135" s="54">
        <v>0</v>
      </c>
      <c r="J135" s="54">
        <v>0</v>
      </c>
      <c r="K135" s="53">
        <f t="shared" ref="K135:K157" si="43">J135/E135</f>
        <v>0</v>
      </c>
      <c r="L135" s="53">
        <v>0</v>
      </c>
      <c r="M135" s="53"/>
      <c r="N135" s="54">
        <v>0</v>
      </c>
      <c r="O135" s="53">
        <f t="shared" si="41"/>
        <v>0</v>
      </c>
      <c r="P135" s="54">
        <v>0</v>
      </c>
      <c r="Q135" s="53"/>
      <c r="R135" s="54">
        <v>0</v>
      </c>
      <c r="S135" s="54">
        <v>0</v>
      </c>
      <c r="T135" s="54">
        <v>0</v>
      </c>
      <c r="U135" s="54">
        <v>0</v>
      </c>
      <c r="V135" s="111">
        <f t="shared" si="42"/>
        <v>510044.5</v>
      </c>
      <c r="W135" s="71">
        <v>2017</v>
      </c>
      <c r="X135" s="71">
        <v>2017</v>
      </c>
      <c r="Y135" s="281" t="s">
        <v>155</v>
      </c>
      <c r="Z135" s="282">
        <v>5</v>
      </c>
      <c r="AA135" s="283" t="s">
        <v>170</v>
      </c>
    </row>
    <row r="136" spans="1:27" s="24" customFormat="1" ht="18" customHeight="1">
      <c r="A136" s="71">
        <f t="shared" si="38"/>
        <v>112</v>
      </c>
      <c r="B136" s="297" t="s">
        <v>175</v>
      </c>
      <c r="C136" s="51" t="s">
        <v>76</v>
      </c>
      <c r="D136" s="111">
        <v>808.7</v>
      </c>
      <c r="E136" s="280">
        <v>769.9</v>
      </c>
      <c r="F136" s="54">
        <f t="shared" si="39"/>
        <v>714975.33</v>
      </c>
      <c r="G136" s="54">
        <v>0</v>
      </c>
      <c r="H136" s="54">
        <f t="shared" si="40"/>
        <v>0</v>
      </c>
      <c r="I136" s="54">
        <v>0</v>
      </c>
      <c r="J136" s="41">
        <f>ROUND(928.66*E136,2)</f>
        <v>714975.33</v>
      </c>
      <c r="K136" s="53">
        <f t="shared" si="43"/>
        <v>928.65999480452001</v>
      </c>
      <c r="L136" s="54">
        <v>0</v>
      </c>
      <c r="M136" s="54"/>
      <c r="N136" s="54">
        <v>0</v>
      </c>
      <c r="O136" s="53">
        <f t="shared" si="41"/>
        <v>0</v>
      </c>
      <c r="P136" s="54">
        <v>0</v>
      </c>
      <c r="Q136" s="54"/>
      <c r="R136" s="54">
        <v>0</v>
      </c>
      <c r="S136" s="54">
        <v>0</v>
      </c>
      <c r="T136" s="54">
        <v>0</v>
      </c>
      <c r="U136" s="54">
        <v>0</v>
      </c>
      <c r="V136" s="111">
        <f t="shared" si="42"/>
        <v>714975.33</v>
      </c>
      <c r="W136" s="71">
        <v>2017</v>
      </c>
      <c r="X136" s="71">
        <v>2017</v>
      </c>
      <c r="Y136" s="281" t="s">
        <v>154</v>
      </c>
      <c r="Z136" s="282">
        <v>3</v>
      </c>
      <c r="AA136" s="283" t="s">
        <v>169</v>
      </c>
    </row>
    <row r="137" spans="1:27" s="24" customFormat="1" ht="18" customHeight="1">
      <c r="A137" s="71">
        <f t="shared" si="38"/>
        <v>113</v>
      </c>
      <c r="B137" s="297" t="s">
        <v>486</v>
      </c>
      <c r="C137" s="40" t="s">
        <v>482</v>
      </c>
      <c r="D137" s="111">
        <v>7417.1</v>
      </c>
      <c r="E137" s="280">
        <v>7400.9</v>
      </c>
      <c r="F137" s="54">
        <f t="shared" si="39"/>
        <v>2335650.0299999998</v>
      </c>
      <c r="G137" s="54">
        <v>0</v>
      </c>
      <c r="H137" s="54">
        <f t="shared" si="40"/>
        <v>0</v>
      </c>
      <c r="I137" s="54">
        <v>0</v>
      </c>
      <c r="J137" s="54">
        <v>0</v>
      </c>
      <c r="K137" s="53">
        <f t="shared" si="43"/>
        <v>0</v>
      </c>
      <c r="L137" s="54">
        <v>0</v>
      </c>
      <c r="M137" s="54"/>
      <c r="N137" s="54">
        <f>ROUND(315.59*E137,2)</f>
        <v>2335650.0299999998</v>
      </c>
      <c r="O137" s="53">
        <f t="shared" si="41"/>
        <v>315.58999986488129</v>
      </c>
      <c r="P137" s="54">
        <v>0</v>
      </c>
      <c r="Q137" s="54"/>
      <c r="R137" s="54">
        <v>0</v>
      </c>
      <c r="S137" s="54">
        <v>0</v>
      </c>
      <c r="T137" s="54">
        <v>0</v>
      </c>
      <c r="U137" s="54">
        <v>0</v>
      </c>
      <c r="V137" s="111">
        <f t="shared" si="42"/>
        <v>2335650.0299999998</v>
      </c>
      <c r="W137" s="71">
        <v>2017</v>
      </c>
      <c r="X137" s="71">
        <v>2017</v>
      </c>
      <c r="Y137" s="281" t="s">
        <v>154</v>
      </c>
      <c r="Z137" s="282">
        <v>9</v>
      </c>
      <c r="AA137" s="283" t="s">
        <v>169</v>
      </c>
    </row>
    <row r="138" spans="1:27" s="24" customFormat="1" ht="18" customHeight="1">
      <c r="A138" s="71">
        <f t="shared" si="38"/>
        <v>114</v>
      </c>
      <c r="B138" s="297" t="s">
        <v>468</v>
      </c>
      <c r="C138" s="51" t="s">
        <v>95</v>
      </c>
      <c r="D138" s="111">
        <v>5302.4</v>
      </c>
      <c r="E138" s="280">
        <v>4769.8</v>
      </c>
      <c r="F138" s="54">
        <f t="shared" si="39"/>
        <v>4228141.51</v>
      </c>
      <c r="G138" s="54">
        <f>ROUND((107.99+169.07)*E138,2)</f>
        <v>1321520.79</v>
      </c>
      <c r="H138" s="54">
        <f t="shared" si="40"/>
        <v>277.0600004193048</v>
      </c>
      <c r="I138" s="54">
        <v>0</v>
      </c>
      <c r="J138" s="53">
        <f>ROUND(609.38*E138,2)</f>
        <v>2906620.72</v>
      </c>
      <c r="K138" s="53">
        <f t="shared" si="43"/>
        <v>609.3799991613904</v>
      </c>
      <c r="L138" s="53">
        <v>0</v>
      </c>
      <c r="M138" s="53"/>
      <c r="N138" s="54">
        <v>0</v>
      </c>
      <c r="O138" s="53">
        <f t="shared" si="41"/>
        <v>0</v>
      </c>
      <c r="P138" s="54">
        <v>0</v>
      </c>
      <c r="Q138" s="53"/>
      <c r="R138" s="54">
        <v>0</v>
      </c>
      <c r="S138" s="54">
        <v>0</v>
      </c>
      <c r="T138" s="54">
        <v>0</v>
      </c>
      <c r="U138" s="54">
        <v>0</v>
      </c>
      <c r="V138" s="111">
        <f t="shared" si="42"/>
        <v>4228141.51</v>
      </c>
      <c r="W138" s="71">
        <v>2017</v>
      </c>
      <c r="X138" s="71">
        <v>2017</v>
      </c>
      <c r="Y138" s="281" t="s">
        <v>154</v>
      </c>
      <c r="Z138" s="282">
        <v>9</v>
      </c>
      <c r="AA138" s="283" t="s">
        <v>169</v>
      </c>
    </row>
    <row r="139" spans="1:27" s="24" customFormat="1" ht="18" customHeight="1">
      <c r="A139" s="71">
        <f t="shared" si="38"/>
        <v>115</v>
      </c>
      <c r="B139" s="297" t="s">
        <v>230</v>
      </c>
      <c r="C139" s="51" t="s">
        <v>21</v>
      </c>
      <c r="D139" s="111">
        <v>1632.2</v>
      </c>
      <c r="E139" s="280">
        <v>1218.0999999999999</v>
      </c>
      <c r="F139" s="54">
        <f t="shared" si="39"/>
        <v>1497800.12</v>
      </c>
      <c r="G139" s="54">
        <f>ROUND((107.99+169.07+134.5+818.06)*E139,2)</f>
        <v>1497800.12</v>
      </c>
      <c r="H139" s="54">
        <f t="shared" si="40"/>
        <v>1229.6199983580989</v>
      </c>
      <c r="I139" s="54">
        <v>0</v>
      </c>
      <c r="J139" s="54">
        <v>0</v>
      </c>
      <c r="K139" s="53">
        <f t="shared" si="43"/>
        <v>0</v>
      </c>
      <c r="L139" s="53">
        <v>0</v>
      </c>
      <c r="M139" s="53"/>
      <c r="N139" s="54">
        <v>0</v>
      </c>
      <c r="O139" s="53">
        <f t="shared" si="41"/>
        <v>0</v>
      </c>
      <c r="P139" s="54">
        <v>0</v>
      </c>
      <c r="Q139" s="53"/>
      <c r="R139" s="54">
        <v>0</v>
      </c>
      <c r="S139" s="54">
        <v>0</v>
      </c>
      <c r="T139" s="54">
        <v>0</v>
      </c>
      <c r="U139" s="54">
        <v>0</v>
      </c>
      <c r="V139" s="111">
        <f t="shared" si="42"/>
        <v>1497800.12</v>
      </c>
      <c r="W139" s="71">
        <v>2017</v>
      </c>
      <c r="X139" s="71">
        <v>2017</v>
      </c>
      <c r="Y139" s="281" t="s">
        <v>154</v>
      </c>
      <c r="Z139" s="282">
        <v>9</v>
      </c>
      <c r="AA139" s="283" t="s">
        <v>169</v>
      </c>
    </row>
    <row r="140" spans="1:27" s="24" customFormat="1" ht="18" customHeight="1">
      <c r="A140" s="71">
        <f t="shared" si="38"/>
        <v>116</v>
      </c>
      <c r="B140" s="297" t="s">
        <v>266</v>
      </c>
      <c r="C140" s="51" t="s">
        <v>21</v>
      </c>
      <c r="D140" s="111">
        <v>5564.8</v>
      </c>
      <c r="E140" s="280">
        <v>5240.2</v>
      </c>
      <c r="F140" s="54">
        <f t="shared" si="39"/>
        <v>4021580.94</v>
      </c>
      <c r="G140" s="54">
        <v>0</v>
      </c>
      <c r="H140" s="54">
        <f t="shared" si="40"/>
        <v>0</v>
      </c>
      <c r="I140" s="286">
        <v>4021580.94</v>
      </c>
      <c r="J140" s="54">
        <v>0</v>
      </c>
      <c r="K140" s="53">
        <f t="shared" si="43"/>
        <v>0</v>
      </c>
      <c r="L140" s="53">
        <v>0</v>
      </c>
      <c r="M140" s="53"/>
      <c r="N140" s="54">
        <v>0</v>
      </c>
      <c r="O140" s="53">
        <f t="shared" si="41"/>
        <v>0</v>
      </c>
      <c r="P140" s="54">
        <v>0</v>
      </c>
      <c r="Q140" s="53"/>
      <c r="R140" s="54">
        <v>0</v>
      </c>
      <c r="S140" s="54">
        <v>0</v>
      </c>
      <c r="T140" s="54">
        <v>0</v>
      </c>
      <c r="U140" s="54">
        <v>0</v>
      </c>
      <c r="V140" s="111">
        <f t="shared" si="42"/>
        <v>4021580.94</v>
      </c>
      <c r="W140" s="71">
        <v>2017</v>
      </c>
      <c r="X140" s="71">
        <v>2017</v>
      </c>
      <c r="Y140" s="281" t="s">
        <v>154</v>
      </c>
      <c r="Z140" s="282">
        <v>9</v>
      </c>
      <c r="AA140" s="283" t="s">
        <v>169</v>
      </c>
    </row>
    <row r="141" spans="1:27" s="24" customFormat="1" ht="18" customHeight="1">
      <c r="A141" s="71">
        <f t="shared" si="38"/>
        <v>117</v>
      </c>
      <c r="B141" s="297" t="s">
        <v>242</v>
      </c>
      <c r="C141" s="51" t="s">
        <v>480</v>
      </c>
      <c r="D141" s="111">
        <v>1050.7</v>
      </c>
      <c r="E141" s="280">
        <v>740.9</v>
      </c>
      <c r="F141" s="54">
        <f t="shared" si="39"/>
        <v>688044.19</v>
      </c>
      <c r="G141" s="54">
        <v>0</v>
      </c>
      <c r="H141" s="54">
        <f t="shared" si="40"/>
        <v>0</v>
      </c>
      <c r="I141" s="54">
        <v>0</v>
      </c>
      <c r="J141" s="41">
        <f>ROUND(928.66*E141,2)</f>
        <v>688044.19</v>
      </c>
      <c r="K141" s="53">
        <f t="shared" si="43"/>
        <v>928.65999460116075</v>
      </c>
      <c r="L141" s="53">
        <v>0</v>
      </c>
      <c r="M141" s="53"/>
      <c r="N141" s="54">
        <v>0</v>
      </c>
      <c r="O141" s="53">
        <f t="shared" si="41"/>
        <v>0</v>
      </c>
      <c r="P141" s="54">
        <v>0</v>
      </c>
      <c r="Q141" s="53"/>
      <c r="R141" s="54">
        <v>0</v>
      </c>
      <c r="S141" s="54">
        <v>0</v>
      </c>
      <c r="T141" s="54">
        <v>0</v>
      </c>
      <c r="U141" s="54">
        <v>0</v>
      </c>
      <c r="V141" s="111">
        <f t="shared" si="42"/>
        <v>688044.19</v>
      </c>
      <c r="W141" s="71">
        <v>2017</v>
      </c>
      <c r="X141" s="71">
        <v>2017</v>
      </c>
      <c r="Y141" s="281" t="s">
        <v>154</v>
      </c>
      <c r="Z141" s="282">
        <v>3</v>
      </c>
      <c r="AA141" s="283" t="s">
        <v>169</v>
      </c>
    </row>
    <row r="142" spans="1:27" s="24" customFormat="1" ht="18" customHeight="1">
      <c r="A142" s="71">
        <f t="shared" si="38"/>
        <v>118</v>
      </c>
      <c r="B142" s="297" t="s">
        <v>48</v>
      </c>
      <c r="C142" s="51" t="s">
        <v>483</v>
      </c>
      <c r="D142" s="111">
        <v>769.3</v>
      </c>
      <c r="E142" s="280">
        <v>696.6</v>
      </c>
      <c r="F142" s="54">
        <f t="shared" si="39"/>
        <v>2481477.2799999998</v>
      </c>
      <c r="G142" s="54">
        <v>0</v>
      </c>
      <c r="H142" s="54">
        <f t="shared" si="40"/>
        <v>0</v>
      </c>
      <c r="I142" s="54">
        <v>0</v>
      </c>
      <c r="J142" s="54">
        <f>ROUND(3562.27*E142,2)</f>
        <v>2481477.2799999998</v>
      </c>
      <c r="K142" s="53">
        <f t="shared" si="43"/>
        <v>3562.2699971289117</v>
      </c>
      <c r="L142" s="54">
        <v>0</v>
      </c>
      <c r="M142" s="54"/>
      <c r="N142" s="54">
        <v>0</v>
      </c>
      <c r="O142" s="53">
        <f t="shared" si="41"/>
        <v>0</v>
      </c>
      <c r="P142" s="54">
        <v>0</v>
      </c>
      <c r="Q142" s="54"/>
      <c r="R142" s="54">
        <v>0</v>
      </c>
      <c r="S142" s="54">
        <v>0</v>
      </c>
      <c r="T142" s="54">
        <v>0</v>
      </c>
      <c r="U142" s="54">
        <v>0</v>
      </c>
      <c r="V142" s="111">
        <f t="shared" si="42"/>
        <v>2481477.2799999998</v>
      </c>
      <c r="W142" s="71">
        <v>2017</v>
      </c>
      <c r="X142" s="71">
        <v>2017</v>
      </c>
      <c r="Y142" s="281" t="s">
        <v>167</v>
      </c>
      <c r="Z142" s="282">
        <v>2</v>
      </c>
      <c r="AA142" s="283" t="s">
        <v>170</v>
      </c>
    </row>
    <row r="143" spans="1:27" s="24" customFormat="1" ht="18" customHeight="1">
      <c r="A143" s="71">
        <f t="shared" si="38"/>
        <v>119</v>
      </c>
      <c r="B143" s="297" t="s">
        <v>110</v>
      </c>
      <c r="C143" s="40" t="s">
        <v>19</v>
      </c>
      <c r="D143" s="111">
        <v>4889.8</v>
      </c>
      <c r="E143" s="280">
        <v>3613.9</v>
      </c>
      <c r="F143" s="54">
        <f t="shared" si="39"/>
        <v>3187821.19</v>
      </c>
      <c r="G143" s="54">
        <v>0</v>
      </c>
      <c r="H143" s="54">
        <f t="shared" si="40"/>
        <v>0</v>
      </c>
      <c r="I143" s="54">
        <v>0</v>
      </c>
      <c r="J143" s="54">
        <v>0</v>
      </c>
      <c r="K143" s="53">
        <f t="shared" si="43"/>
        <v>0</v>
      </c>
      <c r="L143" s="54">
        <v>0</v>
      </c>
      <c r="M143" s="54"/>
      <c r="N143" s="53">
        <f t="shared" ref="N143:N146" si="44">ROUND(882.1*E143,2)</f>
        <v>3187821.19</v>
      </c>
      <c r="O143" s="53">
        <f t="shared" si="41"/>
        <v>882.09999999999991</v>
      </c>
      <c r="P143" s="54">
        <v>0</v>
      </c>
      <c r="Q143" s="54"/>
      <c r="R143" s="54">
        <v>0</v>
      </c>
      <c r="S143" s="54">
        <v>0</v>
      </c>
      <c r="T143" s="54">
        <v>0</v>
      </c>
      <c r="U143" s="54">
        <v>0</v>
      </c>
      <c r="V143" s="111">
        <f t="shared" si="42"/>
        <v>3187821.19</v>
      </c>
      <c r="W143" s="71">
        <v>2017</v>
      </c>
      <c r="X143" s="71">
        <v>2017</v>
      </c>
      <c r="Y143" s="281" t="s">
        <v>155</v>
      </c>
      <c r="Z143" s="282">
        <v>5</v>
      </c>
      <c r="AA143" s="283" t="s">
        <v>170</v>
      </c>
    </row>
    <row r="144" spans="1:27" s="24" customFormat="1" ht="18" customHeight="1">
      <c r="A144" s="71">
        <f t="shared" si="38"/>
        <v>120</v>
      </c>
      <c r="B144" s="297" t="s">
        <v>49</v>
      </c>
      <c r="C144" s="51" t="s">
        <v>484</v>
      </c>
      <c r="D144" s="111">
        <v>1027.5</v>
      </c>
      <c r="E144" s="280">
        <v>1027.5</v>
      </c>
      <c r="F144" s="54">
        <f t="shared" si="39"/>
        <v>906357.75</v>
      </c>
      <c r="G144" s="54">
        <v>0</v>
      </c>
      <c r="H144" s="54">
        <f t="shared" si="40"/>
        <v>0</v>
      </c>
      <c r="I144" s="54">
        <v>0</v>
      </c>
      <c r="J144" s="54">
        <v>0</v>
      </c>
      <c r="K144" s="53">
        <f t="shared" si="43"/>
        <v>0</v>
      </c>
      <c r="L144" s="53">
        <v>0</v>
      </c>
      <c r="M144" s="53"/>
      <c r="N144" s="53">
        <f t="shared" si="44"/>
        <v>906357.75</v>
      </c>
      <c r="O144" s="53">
        <f t="shared" si="41"/>
        <v>882.1</v>
      </c>
      <c r="P144" s="54">
        <v>0</v>
      </c>
      <c r="Q144" s="53"/>
      <c r="R144" s="54">
        <v>0</v>
      </c>
      <c r="S144" s="54">
        <v>0</v>
      </c>
      <c r="T144" s="54">
        <v>0</v>
      </c>
      <c r="U144" s="54">
        <v>0</v>
      </c>
      <c r="V144" s="111">
        <f t="shared" si="42"/>
        <v>906357.75</v>
      </c>
      <c r="W144" s="71">
        <v>2017</v>
      </c>
      <c r="X144" s="71">
        <v>2017</v>
      </c>
      <c r="Y144" s="281" t="s">
        <v>155</v>
      </c>
      <c r="Z144" s="282">
        <v>3</v>
      </c>
      <c r="AA144" s="283" t="s">
        <v>170</v>
      </c>
    </row>
    <row r="145" spans="1:27" s="24" customFormat="1" ht="18" customHeight="1">
      <c r="A145" s="71">
        <f t="shared" si="38"/>
        <v>121</v>
      </c>
      <c r="B145" s="297" t="s">
        <v>184</v>
      </c>
      <c r="C145" s="40" t="s">
        <v>76</v>
      </c>
      <c r="D145" s="111">
        <v>1074.5999999999999</v>
      </c>
      <c r="E145" s="280">
        <v>761.2</v>
      </c>
      <c r="F145" s="54">
        <f t="shared" si="39"/>
        <v>1885728.37</v>
      </c>
      <c r="G145" s="54">
        <v>0</v>
      </c>
      <c r="H145" s="54">
        <f t="shared" si="40"/>
        <v>0</v>
      </c>
      <c r="I145" s="54">
        <v>0</v>
      </c>
      <c r="J145" s="53">
        <f t="shared" ref="J145:J146" si="45">ROUND(1595.21*E145,2)</f>
        <v>1214273.8500000001</v>
      </c>
      <c r="K145" s="53">
        <f t="shared" si="43"/>
        <v>1595.2099973725697</v>
      </c>
      <c r="L145" s="54">
        <v>0</v>
      </c>
      <c r="M145" s="54"/>
      <c r="N145" s="53">
        <f t="shared" si="44"/>
        <v>671454.52</v>
      </c>
      <c r="O145" s="53">
        <f t="shared" si="41"/>
        <v>882.1</v>
      </c>
      <c r="P145" s="54">
        <v>0</v>
      </c>
      <c r="Q145" s="54">
        <f>P145/E145</f>
        <v>0</v>
      </c>
      <c r="R145" s="54">
        <v>0</v>
      </c>
      <c r="S145" s="54">
        <v>0</v>
      </c>
      <c r="T145" s="54">
        <v>0</v>
      </c>
      <c r="U145" s="54">
        <v>0</v>
      </c>
      <c r="V145" s="111">
        <f t="shared" si="42"/>
        <v>1885728.37</v>
      </c>
      <c r="W145" s="71">
        <v>2017</v>
      </c>
      <c r="X145" s="71">
        <v>2017</v>
      </c>
      <c r="Y145" s="281" t="s">
        <v>155</v>
      </c>
      <c r="Z145" s="282">
        <v>2</v>
      </c>
      <c r="AA145" s="283" t="s">
        <v>170</v>
      </c>
    </row>
    <row r="146" spans="1:27" s="24" customFormat="1" ht="18" customHeight="1">
      <c r="A146" s="71">
        <f t="shared" si="38"/>
        <v>122</v>
      </c>
      <c r="B146" s="297" t="s">
        <v>256</v>
      </c>
      <c r="C146" s="51" t="s">
        <v>76</v>
      </c>
      <c r="D146" s="111">
        <v>712.9</v>
      </c>
      <c r="E146" s="280">
        <v>640.5</v>
      </c>
      <c r="F146" s="54">
        <f t="shared" si="39"/>
        <v>1586717.06</v>
      </c>
      <c r="G146" s="54">
        <v>0</v>
      </c>
      <c r="H146" s="54">
        <f t="shared" si="40"/>
        <v>0</v>
      </c>
      <c r="I146" s="54">
        <v>0</v>
      </c>
      <c r="J146" s="53">
        <f t="shared" si="45"/>
        <v>1021732.01</v>
      </c>
      <c r="K146" s="53">
        <f t="shared" si="43"/>
        <v>1595.2100078064013</v>
      </c>
      <c r="L146" s="53">
        <v>0</v>
      </c>
      <c r="M146" s="53"/>
      <c r="N146" s="53">
        <f t="shared" si="44"/>
        <v>564985.05000000005</v>
      </c>
      <c r="O146" s="53">
        <f t="shared" si="41"/>
        <v>882.1</v>
      </c>
      <c r="P146" s="54">
        <v>0</v>
      </c>
      <c r="Q146" s="53"/>
      <c r="R146" s="54">
        <v>0</v>
      </c>
      <c r="S146" s="54">
        <v>0</v>
      </c>
      <c r="T146" s="54">
        <v>0</v>
      </c>
      <c r="U146" s="54">
        <v>0</v>
      </c>
      <c r="V146" s="111">
        <f t="shared" si="42"/>
        <v>1586717.06</v>
      </c>
      <c r="W146" s="71">
        <v>2017</v>
      </c>
      <c r="X146" s="71">
        <v>2017</v>
      </c>
      <c r="Y146" s="281" t="s">
        <v>155</v>
      </c>
      <c r="Z146" s="282">
        <v>2</v>
      </c>
      <c r="AA146" s="283" t="s">
        <v>170</v>
      </c>
    </row>
    <row r="147" spans="1:27" s="24" customFormat="1" ht="18" customHeight="1">
      <c r="A147" s="71">
        <f t="shared" si="38"/>
        <v>123</v>
      </c>
      <c r="B147" s="297" t="s">
        <v>229</v>
      </c>
      <c r="C147" s="51" t="s">
        <v>119</v>
      </c>
      <c r="D147" s="111">
        <v>620.4</v>
      </c>
      <c r="E147" s="280">
        <v>568.70000000000005</v>
      </c>
      <c r="F147" s="54">
        <f t="shared" si="39"/>
        <v>685562.16</v>
      </c>
      <c r="G147" s="54">
        <f>ROUND((151+215+321.45+518.04)*E147,2)</f>
        <v>685562.16</v>
      </c>
      <c r="H147" s="54">
        <f t="shared" si="40"/>
        <v>1205.4899947248109</v>
      </c>
      <c r="I147" s="54">
        <v>0</v>
      </c>
      <c r="J147" s="54">
        <v>0</v>
      </c>
      <c r="K147" s="53">
        <f t="shared" si="43"/>
        <v>0</v>
      </c>
      <c r="L147" s="53">
        <v>0</v>
      </c>
      <c r="M147" s="53"/>
      <c r="N147" s="54">
        <v>0</v>
      </c>
      <c r="O147" s="53">
        <f t="shared" si="41"/>
        <v>0</v>
      </c>
      <c r="P147" s="54"/>
      <c r="Q147" s="53"/>
      <c r="R147" s="54">
        <v>0</v>
      </c>
      <c r="S147" s="54">
        <v>0</v>
      </c>
      <c r="T147" s="54">
        <v>0</v>
      </c>
      <c r="U147" s="54">
        <v>0</v>
      </c>
      <c r="V147" s="111">
        <f t="shared" si="42"/>
        <v>685562.16</v>
      </c>
      <c r="W147" s="71">
        <v>2017</v>
      </c>
      <c r="X147" s="71">
        <v>2017</v>
      </c>
      <c r="Y147" s="281" t="s">
        <v>155</v>
      </c>
      <c r="Z147" s="282">
        <v>2</v>
      </c>
      <c r="AA147" s="283" t="s">
        <v>170</v>
      </c>
    </row>
    <row r="148" spans="1:27" s="24" customFormat="1" ht="18" customHeight="1">
      <c r="A148" s="71">
        <f t="shared" si="38"/>
        <v>124</v>
      </c>
      <c r="B148" s="297" t="s">
        <v>200</v>
      </c>
      <c r="C148" s="51" t="s">
        <v>65</v>
      </c>
      <c r="D148" s="111">
        <v>2996.2</v>
      </c>
      <c r="E148" s="280">
        <v>2967.2</v>
      </c>
      <c r="F148" s="54">
        <f t="shared" si="39"/>
        <v>4753424.7299999995</v>
      </c>
      <c r="G148" s="54">
        <f>ROUND((151+215+321.45)*E148,2)</f>
        <v>2039801.64</v>
      </c>
      <c r="H148" s="54">
        <f t="shared" si="40"/>
        <v>687.45</v>
      </c>
      <c r="I148" s="54">
        <v>0</v>
      </c>
      <c r="J148" s="76">
        <f>ROUND(914.54*E148,2)</f>
        <v>2713623.09</v>
      </c>
      <c r="K148" s="53">
        <f t="shared" si="43"/>
        <v>914.54000067403615</v>
      </c>
      <c r="L148" s="53">
        <v>0</v>
      </c>
      <c r="M148" s="53"/>
      <c r="N148" s="54">
        <v>0</v>
      </c>
      <c r="O148" s="53">
        <f t="shared" si="41"/>
        <v>0</v>
      </c>
      <c r="P148" s="54">
        <v>0</v>
      </c>
      <c r="Q148" s="53"/>
      <c r="R148" s="54">
        <v>0</v>
      </c>
      <c r="S148" s="54">
        <v>0</v>
      </c>
      <c r="T148" s="54">
        <v>0</v>
      </c>
      <c r="U148" s="54">
        <v>0</v>
      </c>
      <c r="V148" s="111">
        <f t="shared" si="42"/>
        <v>4753424.7299999995</v>
      </c>
      <c r="W148" s="71">
        <v>2017</v>
      </c>
      <c r="X148" s="71">
        <v>2017</v>
      </c>
      <c r="Y148" s="281" t="s">
        <v>155</v>
      </c>
      <c r="Z148" s="282">
        <v>5</v>
      </c>
      <c r="AA148" s="283" t="s">
        <v>169</v>
      </c>
    </row>
    <row r="149" spans="1:27" s="24" customFormat="1" ht="18" customHeight="1">
      <c r="A149" s="71">
        <f t="shared" si="38"/>
        <v>125</v>
      </c>
      <c r="B149" s="296" t="s">
        <v>198</v>
      </c>
      <c r="C149" s="51" t="s">
        <v>65</v>
      </c>
      <c r="D149" s="111">
        <v>2998.7</v>
      </c>
      <c r="E149" s="306">
        <v>2982.5</v>
      </c>
      <c r="F149" s="54">
        <f t="shared" si="39"/>
        <v>1091595</v>
      </c>
      <c r="G149" s="54">
        <f t="shared" ref="G149:G150" si="46">ROUND((151+215)*E149,2)</f>
        <v>1091595</v>
      </c>
      <c r="H149" s="54">
        <f t="shared" si="40"/>
        <v>366</v>
      </c>
      <c r="I149" s="54">
        <v>0</v>
      </c>
      <c r="J149" s="54">
        <v>0</v>
      </c>
      <c r="K149" s="53">
        <f t="shared" si="43"/>
        <v>0</v>
      </c>
      <c r="L149" s="54">
        <v>0</v>
      </c>
      <c r="M149" s="54"/>
      <c r="N149" s="54">
        <v>0</v>
      </c>
      <c r="O149" s="53">
        <f t="shared" si="41"/>
        <v>0</v>
      </c>
      <c r="P149" s="54">
        <v>0</v>
      </c>
      <c r="Q149" s="54"/>
      <c r="R149" s="54">
        <v>0</v>
      </c>
      <c r="S149" s="54">
        <v>0</v>
      </c>
      <c r="T149" s="54">
        <v>0</v>
      </c>
      <c r="U149" s="54">
        <v>0</v>
      </c>
      <c r="V149" s="111">
        <f t="shared" si="42"/>
        <v>1091595</v>
      </c>
      <c r="W149" s="71">
        <v>2017</v>
      </c>
      <c r="X149" s="71">
        <v>2017</v>
      </c>
      <c r="Y149" s="307" t="s">
        <v>155</v>
      </c>
      <c r="Z149" s="308">
        <v>5</v>
      </c>
      <c r="AA149" s="309" t="s">
        <v>170</v>
      </c>
    </row>
    <row r="150" spans="1:27" s="24" customFormat="1" ht="18" customHeight="1">
      <c r="A150" s="71">
        <f t="shared" si="38"/>
        <v>126</v>
      </c>
      <c r="B150" s="296" t="s">
        <v>199</v>
      </c>
      <c r="C150" s="51" t="s">
        <v>65</v>
      </c>
      <c r="D150" s="111">
        <v>3033.6</v>
      </c>
      <c r="E150" s="280">
        <v>2791.6</v>
      </c>
      <c r="F150" s="54">
        <f t="shared" si="39"/>
        <v>1021725.6</v>
      </c>
      <c r="G150" s="54">
        <f t="shared" si="46"/>
        <v>1021725.6</v>
      </c>
      <c r="H150" s="54">
        <f t="shared" si="40"/>
        <v>366</v>
      </c>
      <c r="I150" s="54">
        <v>0</v>
      </c>
      <c r="J150" s="54">
        <v>0</v>
      </c>
      <c r="K150" s="53">
        <f t="shared" si="43"/>
        <v>0</v>
      </c>
      <c r="L150" s="54">
        <v>0</v>
      </c>
      <c r="M150" s="54"/>
      <c r="N150" s="54">
        <v>0</v>
      </c>
      <c r="O150" s="53">
        <f t="shared" si="41"/>
        <v>0</v>
      </c>
      <c r="P150" s="54">
        <v>0</v>
      </c>
      <c r="Q150" s="54"/>
      <c r="R150" s="54">
        <v>0</v>
      </c>
      <c r="S150" s="54">
        <v>0</v>
      </c>
      <c r="T150" s="54">
        <v>0</v>
      </c>
      <c r="U150" s="54">
        <v>0</v>
      </c>
      <c r="V150" s="111">
        <f t="shared" si="42"/>
        <v>1021725.6</v>
      </c>
      <c r="W150" s="71">
        <v>2017</v>
      </c>
      <c r="X150" s="71">
        <v>2017</v>
      </c>
      <c r="Y150" s="281" t="s">
        <v>155</v>
      </c>
      <c r="Z150" s="282">
        <v>5</v>
      </c>
      <c r="AA150" s="283" t="s">
        <v>169</v>
      </c>
    </row>
    <row r="151" spans="1:27" s="24" customFormat="1" ht="18" customHeight="1">
      <c r="A151" s="71">
        <f t="shared" si="38"/>
        <v>127</v>
      </c>
      <c r="B151" s="296" t="s">
        <v>197</v>
      </c>
      <c r="C151" s="51" t="s">
        <v>65</v>
      </c>
      <c r="D151" s="111">
        <v>3167.3</v>
      </c>
      <c r="E151" s="280">
        <v>2986.8</v>
      </c>
      <c r="F151" s="54">
        <f t="shared" si="39"/>
        <v>2053275.66</v>
      </c>
      <c r="G151" s="54">
        <f t="shared" ref="G151:G153" si="47">ROUND((151+215+321.45)*E151,2)</f>
        <v>2053275.66</v>
      </c>
      <c r="H151" s="54">
        <f t="shared" si="40"/>
        <v>687.44999999999993</v>
      </c>
      <c r="I151" s="54">
        <v>0</v>
      </c>
      <c r="J151" s="54">
        <v>0</v>
      </c>
      <c r="K151" s="53">
        <f t="shared" si="43"/>
        <v>0</v>
      </c>
      <c r="L151" s="54">
        <v>0</v>
      </c>
      <c r="M151" s="54"/>
      <c r="N151" s="54">
        <v>0</v>
      </c>
      <c r="O151" s="53">
        <f t="shared" si="41"/>
        <v>0</v>
      </c>
      <c r="P151" s="54">
        <v>0</v>
      </c>
      <c r="Q151" s="54"/>
      <c r="R151" s="54">
        <v>0</v>
      </c>
      <c r="S151" s="54">
        <v>0</v>
      </c>
      <c r="T151" s="54">
        <v>0</v>
      </c>
      <c r="U151" s="54">
        <v>0</v>
      </c>
      <c r="V151" s="111">
        <f t="shared" si="42"/>
        <v>2053275.66</v>
      </c>
      <c r="W151" s="71">
        <v>2017</v>
      </c>
      <c r="X151" s="71">
        <v>2017</v>
      </c>
      <c r="Y151" s="281" t="s">
        <v>155</v>
      </c>
      <c r="Z151" s="282">
        <v>5</v>
      </c>
      <c r="AA151" s="283" t="s">
        <v>169</v>
      </c>
    </row>
    <row r="152" spans="1:27" s="24" customFormat="1" ht="18" customHeight="1">
      <c r="A152" s="71">
        <f t="shared" si="38"/>
        <v>128</v>
      </c>
      <c r="B152" s="296" t="s">
        <v>201</v>
      </c>
      <c r="C152" s="51" t="s">
        <v>65</v>
      </c>
      <c r="D152" s="111">
        <v>2962.9</v>
      </c>
      <c r="E152" s="280">
        <v>2954.6</v>
      </c>
      <c r="F152" s="54">
        <f t="shared" si="39"/>
        <v>4733239.6500000004</v>
      </c>
      <c r="G152" s="54">
        <f t="shared" si="47"/>
        <v>2031139.77</v>
      </c>
      <c r="H152" s="54">
        <f t="shared" si="40"/>
        <v>687.45</v>
      </c>
      <c r="I152" s="54">
        <v>0</v>
      </c>
      <c r="J152" s="76">
        <f>ROUND(914.54*E152,2)</f>
        <v>2702099.88</v>
      </c>
      <c r="K152" s="53">
        <f t="shared" si="43"/>
        <v>914.53999864617879</v>
      </c>
      <c r="L152" s="53">
        <v>0</v>
      </c>
      <c r="M152" s="53"/>
      <c r="N152" s="54">
        <v>0</v>
      </c>
      <c r="O152" s="53">
        <f t="shared" si="41"/>
        <v>0</v>
      </c>
      <c r="P152" s="54">
        <v>0</v>
      </c>
      <c r="Q152" s="53"/>
      <c r="R152" s="54">
        <v>0</v>
      </c>
      <c r="S152" s="54">
        <v>0</v>
      </c>
      <c r="T152" s="54">
        <v>0</v>
      </c>
      <c r="U152" s="54">
        <v>0</v>
      </c>
      <c r="V152" s="111">
        <f t="shared" si="42"/>
        <v>4733239.6500000004</v>
      </c>
      <c r="W152" s="71">
        <v>2017</v>
      </c>
      <c r="X152" s="71">
        <v>2017</v>
      </c>
      <c r="Y152" s="281" t="s">
        <v>155</v>
      </c>
      <c r="Z152" s="282">
        <v>5</v>
      </c>
      <c r="AA152" s="283" t="s">
        <v>169</v>
      </c>
    </row>
    <row r="153" spans="1:27" s="24" customFormat="1" ht="18" customHeight="1">
      <c r="A153" s="71">
        <f t="shared" si="38"/>
        <v>129</v>
      </c>
      <c r="B153" s="296" t="s">
        <v>259</v>
      </c>
      <c r="C153" s="51" t="s">
        <v>92</v>
      </c>
      <c r="D153" s="111">
        <v>3732.1</v>
      </c>
      <c r="E153" s="280">
        <v>3279.8</v>
      </c>
      <c r="F153" s="54">
        <f t="shared" si="39"/>
        <v>2254698.5099999998</v>
      </c>
      <c r="G153" s="54">
        <f t="shared" si="47"/>
        <v>2254698.5099999998</v>
      </c>
      <c r="H153" s="54">
        <f t="shared" si="40"/>
        <v>687.44999999999993</v>
      </c>
      <c r="I153" s="54">
        <v>0</v>
      </c>
      <c r="J153" s="54">
        <v>0</v>
      </c>
      <c r="K153" s="53">
        <f t="shared" si="43"/>
        <v>0</v>
      </c>
      <c r="L153" s="53">
        <v>0</v>
      </c>
      <c r="M153" s="53"/>
      <c r="N153" s="54">
        <v>0</v>
      </c>
      <c r="O153" s="53">
        <f t="shared" si="41"/>
        <v>0</v>
      </c>
      <c r="P153" s="54">
        <v>0</v>
      </c>
      <c r="Q153" s="53"/>
      <c r="R153" s="54">
        <v>0</v>
      </c>
      <c r="S153" s="54">
        <v>0</v>
      </c>
      <c r="T153" s="54">
        <v>0</v>
      </c>
      <c r="U153" s="54">
        <v>0</v>
      </c>
      <c r="V153" s="111">
        <f t="shared" si="42"/>
        <v>2254698.5099999998</v>
      </c>
      <c r="W153" s="71">
        <v>2017</v>
      </c>
      <c r="X153" s="71">
        <v>2017</v>
      </c>
      <c r="Y153" s="281" t="s">
        <v>155</v>
      </c>
      <c r="Z153" s="282">
        <v>5</v>
      </c>
      <c r="AA153" s="283" t="s">
        <v>169</v>
      </c>
    </row>
    <row r="154" spans="1:27" s="24" customFormat="1" ht="18" customHeight="1">
      <c r="A154" s="71">
        <f t="shared" si="38"/>
        <v>130</v>
      </c>
      <c r="B154" s="296" t="s">
        <v>223</v>
      </c>
      <c r="C154" s="51" t="s">
        <v>97</v>
      </c>
      <c r="D154" s="111">
        <v>1852.6</v>
      </c>
      <c r="E154" s="280">
        <v>1563.4</v>
      </c>
      <c r="F154" s="54">
        <f t="shared" si="39"/>
        <v>1429791.84</v>
      </c>
      <c r="G154" s="54">
        <v>0</v>
      </c>
      <c r="H154" s="54">
        <f t="shared" si="40"/>
        <v>0</v>
      </c>
      <c r="I154" s="54">
        <v>0</v>
      </c>
      <c r="J154" s="76">
        <f t="shared" ref="J154:J155" si="48">ROUND(914.54*E154,2)</f>
        <v>1429791.84</v>
      </c>
      <c r="K154" s="53">
        <f t="shared" si="43"/>
        <v>914.54000255852634</v>
      </c>
      <c r="L154" s="53">
        <v>0</v>
      </c>
      <c r="M154" s="53"/>
      <c r="N154" s="54">
        <v>0</v>
      </c>
      <c r="O154" s="53">
        <f t="shared" si="41"/>
        <v>0</v>
      </c>
      <c r="P154" s="54">
        <v>0</v>
      </c>
      <c r="Q154" s="53"/>
      <c r="R154" s="54">
        <v>0</v>
      </c>
      <c r="S154" s="54">
        <v>0</v>
      </c>
      <c r="T154" s="54">
        <v>0</v>
      </c>
      <c r="U154" s="54">
        <v>0</v>
      </c>
      <c r="V154" s="111">
        <f t="shared" si="42"/>
        <v>1429791.84</v>
      </c>
      <c r="W154" s="71">
        <v>2017</v>
      </c>
      <c r="X154" s="71">
        <v>2017</v>
      </c>
      <c r="Y154" s="281" t="s">
        <v>155</v>
      </c>
      <c r="Z154" s="282">
        <v>5</v>
      </c>
      <c r="AA154" s="283" t="s">
        <v>169</v>
      </c>
    </row>
    <row r="155" spans="1:27" s="24" customFormat="1" ht="18" customHeight="1">
      <c r="A155" s="71">
        <f t="shared" si="38"/>
        <v>131</v>
      </c>
      <c r="B155" s="296" t="s">
        <v>220</v>
      </c>
      <c r="C155" s="51" t="s">
        <v>97</v>
      </c>
      <c r="D155" s="111">
        <v>4322.3999999999996</v>
      </c>
      <c r="E155" s="280">
        <v>4263</v>
      </c>
      <c r="F155" s="54">
        <f t="shared" si="39"/>
        <v>3898684.02</v>
      </c>
      <c r="G155" s="54">
        <v>0</v>
      </c>
      <c r="H155" s="54">
        <f t="shared" si="40"/>
        <v>0</v>
      </c>
      <c r="I155" s="54">
        <v>0</v>
      </c>
      <c r="J155" s="76">
        <f t="shared" si="48"/>
        <v>3898684.02</v>
      </c>
      <c r="K155" s="53">
        <f t="shared" si="43"/>
        <v>914.54</v>
      </c>
      <c r="L155" s="53">
        <v>0</v>
      </c>
      <c r="M155" s="53"/>
      <c r="N155" s="54">
        <v>0</v>
      </c>
      <c r="O155" s="53">
        <f t="shared" si="41"/>
        <v>0</v>
      </c>
      <c r="P155" s="54">
        <v>0</v>
      </c>
      <c r="Q155" s="54">
        <f>P155/E155</f>
        <v>0</v>
      </c>
      <c r="R155" s="54">
        <v>0</v>
      </c>
      <c r="S155" s="54">
        <v>0</v>
      </c>
      <c r="T155" s="54">
        <v>0</v>
      </c>
      <c r="U155" s="54">
        <v>0</v>
      </c>
      <c r="V155" s="111">
        <f t="shared" si="42"/>
        <v>3898684.02</v>
      </c>
      <c r="W155" s="71">
        <v>2017</v>
      </c>
      <c r="X155" s="71">
        <v>2017</v>
      </c>
      <c r="Y155" s="281" t="s">
        <v>155</v>
      </c>
      <c r="Z155" s="282">
        <v>5</v>
      </c>
      <c r="AA155" s="283" t="s">
        <v>169</v>
      </c>
    </row>
    <row r="156" spans="1:27" s="24" customFormat="1" ht="18" customHeight="1">
      <c r="A156" s="71">
        <f t="shared" si="38"/>
        <v>132</v>
      </c>
      <c r="B156" s="296" t="s">
        <v>221</v>
      </c>
      <c r="C156" s="51" t="s">
        <v>97</v>
      </c>
      <c r="D156" s="111">
        <v>3048.4</v>
      </c>
      <c r="E156" s="280">
        <v>3017</v>
      </c>
      <c r="F156" s="54">
        <f t="shared" si="39"/>
        <v>2801767.22</v>
      </c>
      <c r="G156" s="54">
        <v>0</v>
      </c>
      <c r="H156" s="54">
        <f t="shared" si="40"/>
        <v>0</v>
      </c>
      <c r="I156" s="54">
        <v>0</v>
      </c>
      <c r="J156" s="41">
        <f>ROUND(928.66*E156,2)</f>
        <v>2801767.22</v>
      </c>
      <c r="K156" s="53">
        <f t="shared" si="43"/>
        <v>928.66000000000008</v>
      </c>
      <c r="L156" s="53">
        <v>0</v>
      </c>
      <c r="M156" s="53"/>
      <c r="N156" s="54">
        <v>0</v>
      </c>
      <c r="O156" s="53">
        <f t="shared" si="41"/>
        <v>0</v>
      </c>
      <c r="P156" s="54">
        <v>0</v>
      </c>
      <c r="Q156" s="53"/>
      <c r="R156" s="54">
        <v>0</v>
      </c>
      <c r="S156" s="54">
        <v>0</v>
      </c>
      <c r="T156" s="54">
        <v>0</v>
      </c>
      <c r="U156" s="54">
        <v>0</v>
      </c>
      <c r="V156" s="111">
        <f t="shared" si="42"/>
        <v>2801767.22</v>
      </c>
      <c r="W156" s="71">
        <v>2017</v>
      </c>
      <c r="X156" s="71">
        <v>2017</v>
      </c>
      <c r="Y156" s="281" t="s">
        <v>154</v>
      </c>
      <c r="Z156" s="282">
        <v>5</v>
      </c>
      <c r="AA156" s="283" t="s">
        <v>169</v>
      </c>
    </row>
    <row r="157" spans="1:27" s="24" customFormat="1" ht="18" customHeight="1">
      <c r="A157" s="71">
        <f t="shared" si="38"/>
        <v>133</v>
      </c>
      <c r="B157" s="296" t="s">
        <v>222</v>
      </c>
      <c r="C157" s="51" t="s">
        <v>97</v>
      </c>
      <c r="D157" s="111">
        <v>4452.1000000000004</v>
      </c>
      <c r="E157" s="280">
        <v>4374.8999999999996</v>
      </c>
      <c r="F157" s="54">
        <f t="shared" si="39"/>
        <v>4062794.63</v>
      </c>
      <c r="G157" s="54">
        <v>0</v>
      </c>
      <c r="H157" s="54">
        <f t="shared" si="40"/>
        <v>0</v>
      </c>
      <c r="I157" s="54">
        <v>0</v>
      </c>
      <c r="J157" s="41">
        <f>ROUND(928.66*E157,2)</f>
        <v>4062794.63</v>
      </c>
      <c r="K157" s="53">
        <f t="shared" si="43"/>
        <v>928.65999908569347</v>
      </c>
      <c r="L157" s="53">
        <v>0</v>
      </c>
      <c r="M157" s="53"/>
      <c r="N157" s="54">
        <v>0</v>
      </c>
      <c r="O157" s="53">
        <f t="shared" si="41"/>
        <v>0</v>
      </c>
      <c r="P157" s="54">
        <v>0</v>
      </c>
      <c r="Q157" s="53"/>
      <c r="R157" s="54">
        <v>0</v>
      </c>
      <c r="S157" s="54">
        <v>0</v>
      </c>
      <c r="T157" s="54">
        <v>0</v>
      </c>
      <c r="U157" s="54">
        <v>0</v>
      </c>
      <c r="V157" s="111">
        <f t="shared" si="42"/>
        <v>4062794.63</v>
      </c>
      <c r="W157" s="71">
        <v>2017</v>
      </c>
      <c r="X157" s="71">
        <v>2017</v>
      </c>
      <c r="Y157" s="281" t="s">
        <v>154</v>
      </c>
      <c r="Z157" s="282">
        <v>5</v>
      </c>
      <c r="AA157" s="282" t="s">
        <v>169</v>
      </c>
    </row>
    <row r="158" spans="1:27" s="24" customFormat="1" ht="18" customHeight="1">
      <c r="A158" s="71">
        <f t="shared" si="38"/>
        <v>134</v>
      </c>
      <c r="B158" s="296" t="s">
        <v>36</v>
      </c>
      <c r="C158" s="51" t="s">
        <v>476</v>
      </c>
      <c r="D158" s="111">
        <v>5687.9</v>
      </c>
      <c r="E158" s="280">
        <v>5670.9</v>
      </c>
      <c r="F158" s="54">
        <f t="shared" si="39"/>
        <v>1165710.2</v>
      </c>
      <c r="G158" s="54">
        <f>ROUND(205.56*E158,2)</f>
        <v>1165710.2</v>
      </c>
      <c r="H158" s="54">
        <f t="shared" si="40"/>
        <v>205.5599992946446</v>
      </c>
      <c r="I158" s="54">
        <v>0</v>
      </c>
      <c r="J158" s="54">
        <v>0</v>
      </c>
      <c r="K158" s="53">
        <f t="shared" ref="K158:K193" si="49">J158/E158</f>
        <v>0</v>
      </c>
      <c r="L158" s="53">
        <v>0</v>
      </c>
      <c r="M158" s="53"/>
      <c r="N158" s="54">
        <v>0</v>
      </c>
      <c r="O158" s="53">
        <f t="shared" si="41"/>
        <v>0</v>
      </c>
      <c r="P158" s="54">
        <v>0</v>
      </c>
      <c r="Q158" s="53"/>
      <c r="R158" s="54">
        <v>0</v>
      </c>
      <c r="S158" s="54">
        <v>0</v>
      </c>
      <c r="T158" s="54">
        <v>0</v>
      </c>
      <c r="U158" s="54">
        <v>0</v>
      </c>
      <c r="V158" s="111">
        <f t="shared" si="42"/>
        <v>1165710.2</v>
      </c>
      <c r="W158" s="71">
        <v>2017</v>
      </c>
      <c r="X158" s="71">
        <v>2017</v>
      </c>
      <c r="Y158" s="281" t="s">
        <v>154</v>
      </c>
      <c r="Z158" s="282">
        <v>5</v>
      </c>
      <c r="AA158" s="282" t="s">
        <v>169</v>
      </c>
    </row>
    <row r="159" spans="1:27" s="24" customFormat="1" ht="18" customHeight="1">
      <c r="A159" s="71">
        <f t="shared" si="38"/>
        <v>135</v>
      </c>
      <c r="B159" s="296" t="s">
        <v>225</v>
      </c>
      <c r="C159" s="51" t="s">
        <v>475</v>
      </c>
      <c r="D159" s="111">
        <v>3600.2</v>
      </c>
      <c r="E159" s="280">
        <v>3153.7</v>
      </c>
      <c r="F159" s="54">
        <f t="shared" si="39"/>
        <v>5359555.47</v>
      </c>
      <c r="G159" s="53">
        <f t="shared" ref="G159:G160" si="50">ROUND((493.96+518.04+151+215+321.45)*E159,2)</f>
        <v>5359555.47</v>
      </c>
      <c r="H159" s="54">
        <f t="shared" si="40"/>
        <v>1699.4500015854394</v>
      </c>
      <c r="I159" s="54">
        <v>0</v>
      </c>
      <c r="J159" s="54">
        <v>0</v>
      </c>
      <c r="K159" s="53">
        <f t="shared" si="49"/>
        <v>0</v>
      </c>
      <c r="L159" s="53">
        <v>0</v>
      </c>
      <c r="M159" s="53"/>
      <c r="N159" s="54">
        <v>0</v>
      </c>
      <c r="O159" s="53">
        <f t="shared" si="41"/>
        <v>0</v>
      </c>
      <c r="P159" s="54">
        <v>0</v>
      </c>
      <c r="Q159" s="53"/>
      <c r="R159" s="54">
        <v>0</v>
      </c>
      <c r="S159" s="54">
        <v>0</v>
      </c>
      <c r="T159" s="54">
        <v>0</v>
      </c>
      <c r="U159" s="54">
        <v>0</v>
      </c>
      <c r="V159" s="111">
        <f t="shared" si="42"/>
        <v>5359555.47</v>
      </c>
      <c r="W159" s="71">
        <v>2017</v>
      </c>
      <c r="X159" s="71">
        <v>2017</v>
      </c>
      <c r="Y159" s="281" t="s">
        <v>155</v>
      </c>
      <c r="Z159" s="282">
        <v>5</v>
      </c>
      <c r="AA159" s="282" t="s">
        <v>169</v>
      </c>
    </row>
    <row r="160" spans="1:27" s="24" customFormat="1" ht="18" customHeight="1">
      <c r="A160" s="71">
        <f t="shared" si="38"/>
        <v>136</v>
      </c>
      <c r="B160" s="296" t="s">
        <v>226</v>
      </c>
      <c r="C160" s="51" t="s">
        <v>61</v>
      </c>
      <c r="D160" s="111">
        <v>1698.8</v>
      </c>
      <c r="E160" s="280">
        <v>1505.5</v>
      </c>
      <c r="F160" s="54">
        <f t="shared" si="39"/>
        <v>2558521.98</v>
      </c>
      <c r="G160" s="53">
        <f t="shared" si="50"/>
        <v>2558521.98</v>
      </c>
      <c r="H160" s="54">
        <f t="shared" si="40"/>
        <v>1699.4500033211557</v>
      </c>
      <c r="I160" s="54">
        <v>0</v>
      </c>
      <c r="J160" s="54">
        <v>0</v>
      </c>
      <c r="K160" s="53">
        <f t="shared" si="49"/>
        <v>0</v>
      </c>
      <c r="L160" s="53">
        <v>0</v>
      </c>
      <c r="M160" s="53"/>
      <c r="N160" s="54">
        <v>0</v>
      </c>
      <c r="O160" s="53">
        <f t="shared" si="41"/>
        <v>0</v>
      </c>
      <c r="P160" s="54">
        <v>0</v>
      </c>
      <c r="Q160" s="53"/>
      <c r="R160" s="54">
        <v>0</v>
      </c>
      <c r="S160" s="54">
        <v>0</v>
      </c>
      <c r="T160" s="54">
        <v>0</v>
      </c>
      <c r="U160" s="54">
        <v>0</v>
      </c>
      <c r="V160" s="111">
        <f t="shared" si="42"/>
        <v>2558521.98</v>
      </c>
      <c r="W160" s="71">
        <v>2017</v>
      </c>
      <c r="X160" s="71">
        <v>2017</v>
      </c>
      <c r="Y160" s="281" t="s">
        <v>155</v>
      </c>
      <c r="Z160" s="282">
        <v>4</v>
      </c>
      <c r="AA160" s="282" t="s">
        <v>169</v>
      </c>
    </row>
    <row r="161" spans="1:27" s="24" customFormat="1" ht="18" customHeight="1">
      <c r="A161" s="71">
        <f t="shared" si="38"/>
        <v>137</v>
      </c>
      <c r="B161" s="296" t="s">
        <v>251</v>
      </c>
      <c r="C161" s="51" t="s">
        <v>95</v>
      </c>
      <c r="D161" s="111">
        <v>2546.1</v>
      </c>
      <c r="E161" s="280">
        <v>2504.1</v>
      </c>
      <c r="F161" s="54">
        <f t="shared" si="39"/>
        <v>423368.19</v>
      </c>
      <c r="G161" s="54">
        <f>ROUND(169.07*E161,2)</f>
        <v>423368.19</v>
      </c>
      <c r="H161" s="54">
        <f t="shared" si="40"/>
        <v>169.07000119803524</v>
      </c>
      <c r="I161" s="54">
        <v>0</v>
      </c>
      <c r="J161" s="54">
        <v>0</v>
      </c>
      <c r="K161" s="53">
        <f t="shared" si="49"/>
        <v>0</v>
      </c>
      <c r="L161" s="53">
        <v>0</v>
      </c>
      <c r="M161" s="53"/>
      <c r="N161" s="54">
        <v>0</v>
      </c>
      <c r="O161" s="53">
        <f t="shared" si="41"/>
        <v>0</v>
      </c>
      <c r="P161" s="54">
        <v>0</v>
      </c>
      <c r="Q161" s="53"/>
      <c r="R161" s="54">
        <v>0</v>
      </c>
      <c r="S161" s="54">
        <v>0</v>
      </c>
      <c r="T161" s="54">
        <v>0</v>
      </c>
      <c r="U161" s="54">
        <v>0</v>
      </c>
      <c r="V161" s="111">
        <f t="shared" si="42"/>
        <v>423368.19</v>
      </c>
      <c r="W161" s="71">
        <v>2017</v>
      </c>
      <c r="X161" s="71">
        <v>2017</v>
      </c>
      <c r="Y161" s="281" t="s">
        <v>154</v>
      </c>
      <c r="Z161" s="282">
        <v>9</v>
      </c>
      <c r="AA161" s="282" t="s">
        <v>169</v>
      </c>
    </row>
    <row r="162" spans="1:27" s="24" customFormat="1" ht="18" customHeight="1">
      <c r="A162" s="71">
        <f t="shared" si="38"/>
        <v>138</v>
      </c>
      <c r="B162" s="296" t="s">
        <v>253</v>
      </c>
      <c r="C162" s="51" t="s">
        <v>94</v>
      </c>
      <c r="D162" s="111">
        <v>2537.6</v>
      </c>
      <c r="E162" s="280">
        <v>2494.8000000000002</v>
      </c>
      <c r="F162" s="54">
        <f t="shared" ref="F162:F192" si="51">G162+I162+J162+L162+N162+P162+R162</f>
        <v>421795.84000000003</v>
      </c>
      <c r="G162" s="54">
        <f>ROUND(169.07*E162,2)</f>
        <v>421795.84000000003</v>
      </c>
      <c r="H162" s="54">
        <f t="shared" ref="H162:H191" si="52">G162/E162</f>
        <v>169.07000160333493</v>
      </c>
      <c r="I162" s="54">
        <v>0</v>
      </c>
      <c r="J162" s="54">
        <v>0</v>
      </c>
      <c r="K162" s="53">
        <f t="shared" si="49"/>
        <v>0</v>
      </c>
      <c r="L162" s="53">
        <v>0</v>
      </c>
      <c r="M162" s="53"/>
      <c r="N162" s="54">
        <v>0</v>
      </c>
      <c r="O162" s="53">
        <f t="shared" ref="O162:O192" si="53">N162/E162</f>
        <v>0</v>
      </c>
      <c r="P162" s="54">
        <v>0</v>
      </c>
      <c r="Q162" s="53"/>
      <c r="R162" s="54">
        <v>0</v>
      </c>
      <c r="S162" s="54">
        <v>0</v>
      </c>
      <c r="T162" s="54">
        <v>0</v>
      </c>
      <c r="U162" s="54">
        <v>0</v>
      </c>
      <c r="V162" s="111">
        <f t="shared" ref="V162:V193" si="54">F162</f>
        <v>421795.84000000003</v>
      </c>
      <c r="W162" s="71">
        <v>2017</v>
      </c>
      <c r="X162" s="71">
        <v>2017</v>
      </c>
      <c r="Y162" s="281" t="s">
        <v>154</v>
      </c>
      <c r="Z162" s="282">
        <v>9</v>
      </c>
      <c r="AA162" s="283" t="s">
        <v>169</v>
      </c>
    </row>
    <row r="163" spans="1:27" s="24" customFormat="1" ht="18" customHeight="1">
      <c r="A163" s="71">
        <f t="shared" si="38"/>
        <v>139</v>
      </c>
      <c r="B163" s="296" t="s">
        <v>133</v>
      </c>
      <c r="C163" s="51" t="s">
        <v>77</v>
      </c>
      <c r="D163" s="111">
        <v>9393.9</v>
      </c>
      <c r="E163" s="280">
        <v>7167.8</v>
      </c>
      <c r="F163" s="54">
        <f t="shared" si="51"/>
        <v>17809070.370000001</v>
      </c>
      <c r="G163" s="54">
        <v>0</v>
      </c>
      <c r="H163" s="54">
        <f t="shared" si="52"/>
        <v>0</v>
      </c>
      <c r="I163" s="286">
        <f>ROUND(2544152.91*7,2)</f>
        <v>17809070.370000001</v>
      </c>
      <c r="J163" s="54">
        <v>0</v>
      </c>
      <c r="K163" s="53">
        <f t="shared" si="49"/>
        <v>0</v>
      </c>
      <c r="L163" s="53">
        <v>0</v>
      </c>
      <c r="M163" s="53"/>
      <c r="N163" s="54">
        <v>0</v>
      </c>
      <c r="O163" s="53">
        <f t="shared" si="53"/>
        <v>0</v>
      </c>
      <c r="P163" s="54">
        <v>0</v>
      </c>
      <c r="Q163" s="53"/>
      <c r="R163" s="54">
        <v>0</v>
      </c>
      <c r="S163" s="54">
        <v>0</v>
      </c>
      <c r="T163" s="54">
        <v>0</v>
      </c>
      <c r="U163" s="54">
        <v>0</v>
      </c>
      <c r="V163" s="111">
        <f t="shared" si="54"/>
        <v>17809070.370000001</v>
      </c>
      <c r="W163" s="71">
        <v>2017</v>
      </c>
      <c r="X163" s="71">
        <v>2017</v>
      </c>
      <c r="Y163" s="281" t="s">
        <v>155</v>
      </c>
      <c r="Z163" s="282">
        <v>8</v>
      </c>
      <c r="AA163" s="282" t="s">
        <v>170</v>
      </c>
    </row>
    <row r="164" spans="1:27" s="24" customFormat="1" ht="18" customHeight="1">
      <c r="A164" s="71">
        <f t="shared" si="38"/>
        <v>140</v>
      </c>
      <c r="B164" s="296" t="s">
        <v>193</v>
      </c>
      <c r="C164" s="40" t="s">
        <v>480</v>
      </c>
      <c r="D164" s="111">
        <v>1615.1</v>
      </c>
      <c r="E164" s="280">
        <v>1235.5999999999999</v>
      </c>
      <c r="F164" s="54">
        <f t="shared" si="51"/>
        <v>849413.22</v>
      </c>
      <c r="G164" s="54">
        <f>ROUND((151+215+321.45)*E164,2)</f>
        <v>849413.22</v>
      </c>
      <c r="H164" s="54">
        <f t="shared" si="52"/>
        <v>687.45</v>
      </c>
      <c r="I164" s="54">
        <v>0</v>
      </c>
      <c r="J164" s="54">
        <v>0</v>
      </c>
      <c r="K164" s="53">
        <f t="shared" si="49"/>
        <v>0</v>
      </c>
      <c r="L164" s="54">
        <v>0</v>
      </c>
      <c r="M164" s="54"/>
      <c r="N164" s="54">
        <v>0</v>
      </c>
      <c r="O164" s="53">
        <f t="shared" si="53"/>
        <v>0</v>
      </c>
      <c r="P164" s="54">
        <v>0</v>
      </c>
      <c r="Q164" s="54"/>
      <c r="R164" s="54">
        <v>0</v>
      </c>
      <c r="S164" s="54">
        <v>0</v>
      </c>
      <c r="T164" s="54">
        <v>0</v>
      </c>
      <c r="U164" s="54">
        <v>0</v>
      </c>
      <c r="V164" s="111">
        <f t="shared" si="54"/>
        <v>849413.22</v>
      </c>
      <c r="W164" s="71">
        <v>2017</v>
      </c>
      <c r="X164" s="71">
        <v>2017</v>
      </c>
      <c r="Y164" s="281" t="s">
        <v>155</v>
      </c>
      <c r="Z164" s="282">
        <v>4</v>
      </c>
      <c r="AA164" s="282" t="s">
        <v>170</v>
      </c>
    </row>
    <row r="165" spans="1:27" s="24" customFormat="1" ht="18" customHeight="1">
      <c r="A165" s="71">
        <f t="shared" si="38"/>
        <v>141</v>
      </c>
      <c r="B165" s="296" t="s">
        <v>192</v>
      </c>
      <c r="C165" s="40" t="s">
        <v>478</v>
      </c>
      <c r="D165" s="111">
        <v>2206.6999999999998</v>
      </c>
      <c r="E165" s="280">
        <v>1398.8</v>
      </c>
      <c r="F165" s="54">
        <f t="shared" si="51"/>
        <v>1233881.48</v>
      </c>
      <c r="G165" s="54">
        <v>0</v>
      </c>
      <c r="H165" s="54">
        <f t="shared" si="52"/>
        <v>0</v>
      </c>
      <c r="I165" s="54">
        <v>0</v>
      </c>
      <c r="J165" s="54">
        <v>0</v>
      </c>
      <c r="K165" s="53">
        <f t="shared" si="49"/>
        <v>0</v>
      </c>
      <c r="L165" s="54">
        <v>0</v>
      </c>
      <c r="M165" s="54"/>
      <c r="N165" s="53">
        <f t="shared" ref="N165:N166" si="55">ROUND(882.1*E165,2)</f>
        <v>1233881.48</v>
      </c>
      <c r="O165" s="53">
        <f t="shared" si="53"/>
        <v>882.1</v>
      </c>
      <c r="P165" s="54">
        <v>0</v>
      </c>
      <c r="Q165" s="54"/>
      <c r="R165" s="54">
        <v>0</v>
      </c>
      <c r="S165" s="54">
        <v>0</v>
      </c>
      <c r="T165" s="54">
        <v>0</v>
      </c>
      <c r="U165" s="54">
        <v>0</v>
      </c>
      <c r="V165" s="111">
        <f t="shared" si="54"/>
        <v>1233881.48</v>
      </c>
      <c r="W165" s="71">
        <v>2017</v>
      </c>
      <c r="X165" s="71">
        <v>2017</v>
      </c>
      <c r="Y165" s="281" t="s">
        <v>155</v>
      </c>
      <c r="Z165" s="282">
        <v>4</v>
      </c>
      <c r="AA165" s="282" t="s">
        <v>170</v>
      </c>
    </row>
    <row r="166" spans="1:27" s="24" customFormat="1" ht="18" customHeight="1">
      <c r="A166" s="71">
        <f t="shared" si="38"/>
        <v>142</v>
      </c>
      <c r="B166" s="310" t="s">
        <v>50</v>
      </c>
      <c r="C166" s="51" t="s">
        <v>478</v>
      </c>
      <c r="D166" s="111">
        <v>3850.4</v>
      </c>
      <c r="E166" s="280">
        <v>3132.6</v>
      </c>
      <c r="F166" s="54">
        <f t="shared" si="51"/>
        <v>2763266.46</v>
      </c>
      <c r="G166" s="54">
        <v>0</v>
      </c>
      <c r="H166" s="54">
        <f t="shared" si="52"/>
        <v>0</v>
      </c>
      <c r="I166" s="54">
        <v>0</v>
      </c>
      <c r="J166" s="54">
        <v>0</v>
      </c>
      <c r="K166" s="53">
        <f t="shared" si="49"/>
        <v>0</v>
      </c>
      <c r="L166" s="54">
        <v>0</v>
      </c>
      <c r="M166" s="54"/>
      <c r="N166" s="53">
        <f t="shared" si="55"/>
        <v>2763266.46</v>
      </c>
      <c r="O166" s="53">
        <f t="shared" si="53"/>
        <v>882.1</v>
      </c>
      <c r="P166" s="54">
        <v>0</v>
      </c>
      <c r="Q166" s="54"/>
      <c r="R166" s="54">
        <v>0</v>
      </c>
      <c r="S166" s="54">
        <v>0</v>
      </c>
      <c r="T166" s="54">
        <v>0</v>
      </c>
      <c r="U166" s="54">
        <v>0</v>
      </c>
      <c r="V166" s="111">
        <f t="shared" si="54"/>
        <v>2763266.46</v>
      </c>
      <c r="W166" s="71">
        <v>2017</v>
      </c>
      <c r="X166" s="71">
        <v>2017</v>
      </c>
      <c r="Y166" s="281" t="s">
        <v>155</v>
      </c>
      <c r="Z166" s="282">
        <v>4</v>
      </c>
      <c r="AA166" s="282" t="s">
        <v>170</v>
      </c>
    </row>
    <row r="167" spans="1:27" s="24" customFormat="1" ht="18" customHeight="1">
      <c r="A167" s="71">
        <f t="shared" si="38"/>
        <v>143</v>
      </c>
      <c r="B167" s="296" t="s">
        <v>194</v>
      </c>
      <c r="C167" s="51" t="s">
        <v>479</v>
      </c>
      <c r="D167" s="111">
        <v>2829.1</v>
      </c>
      <c r="E167" s="280">
        <v>2762.4</v>
      </c>
      <c r="F167" s="54">
        <f t="shared" si="51"/>
        <v>2565330.38</v>
      </c>
      <c r="G167" s="54">
        <v>0</v>
      </c>
      <c r="H167" s="54">
        <f t="shared" si="52"/>
        <v>0</v>
      </c>
      <c r="I167" s="302">
        <v>0</v>
      </c>
      <c r="J167" s="41">
        <f>ROUND(928.66*E167,2)</f>
        <v>2565330.38</v>
      </c>
      <c r="K167" s="53">
        <f t="shared" si="49"/>
        <v>928.65999855198368</v>
      </c>
      <c r="L167" s="53">
        <v>0</v>
      </c>
      <c r="M167" s="53"/>
      <c r="N167" s="54">
        <v>0</v>
      </c>
      <c r="O167" s="53">
        <f t="shared" si="53"/>
        <v>0</v>
      </c>
      <c r="P167" s="54">
        <v>0</v>
      </c>
      <c r="Q167" s="53"/>
      <c r="R167" s="54">
        <v>0</v>
      </c>
      <c r="S167" s="54">
        <v>0</v>
      </c>
      <c r="T167" s="54">
        <v>0</v>
      </c>
      <c r="U167" s="54">
        <v>0</v>
      </c>
      <c r="V167" s="111">
        <f t="shared" si="54"/>
        <v>2565330.38</v>
      </c>
      <c r="W167" s="71">
        <v>2017</v>
      </c>
      <c r="X167" s="71">
        <v>2017</v>
      </c>
      <c r="Y167" s="281" t="s">
        <v>154</v>
      </c>
      <c r="Z167" s="282">
        <v>5</v>
      </c>
      <c r="AA167" s="282" t="s">
        <v>169</v>
      </c>
    </row>
    <row r="168" spans="1:27" s="24" customFormat="1" ht="18" customHeight="1">
      <c r="A168" s="71">
        <f t="shared" si="38"/>
        <v>144</v>
      </c>
      <c r="B168" s="296" t="s">
        <v>469</v>
      </c>
      <c r="C168" s="51" t="s">
        <v>66</v>
      </c>
      <c r="D168" s="111">
        <v>2987.6</v>
      </c>
      <c r="E168" s="280">
        <v>2973.5</v>
      </c>
      <c r="F168" s="54">
        <f t="shared" si="51"/>
        <v>2044132.58</v>
      </c>
      <c r="G168" s="54">
        <f t="shared" ref="G168:G171" si="56">ROUND((151+215+321.45)*E168,2)</f>
        <v>2044132.58</v>
      </c>
      <c r="H168" s="54">
        <f t="shared" si="52"/>
        <v>687.45000168152012</v>
      </c>
      <c r="I168" s="54">
        <v>0</v>
      </c>
      <c r="J168" s="54">
        <v>0</v>
      </c>
      <c r="K168" s="53">
        <f t="shared" si="49"/>
        <v>0</v>
      </c>
      <c r="L168" s="53">
        <v>0</v>
      </c>
      <c r="M168" s="53"/>
      <c r="N168" s="54">
        <v>0</v>
      </c>
      <c r="O168" s="53">
        <f t="shared" si="53"/>
        <v>0</v>
      </c>
      <c r="P168" s="54">
        <v>0</v>
      </c>
      <c r="Q168" s="53"/>
      <c r="R168" s="54">
        <v>0</v>
      </c>
      <c r="S168" s="54">
        <v>0</v>
      </c>
      <c r="T168" s="54">
        <v>0</v>
      </c>
      <c r="U168" s="54">
        <v>0</v>
      </c>
      <c r="V168" s="111">
        <f t="shared" si="54"/>
        <v>2044132.58</v>
      </c>
      <c r="W168" s="71">
        <v>2017</v>
      </c>
      <c r="X168" s="71">
        <v>2017</v>
      </c>
      <c r="Y168" s="281" t="s">
        <v>155</v>
      </c>
      <c r="Z168" s="282">
        <v>5</v>
      </c>
      <c r="AA168" s="282" t="s">
        <v>169</v>
      </c>
    </row>
    <row r="169" spans="1:27" s="24" customFormat="1" ht="18" customHeight="1">
      <c r="A169" s="71">
        <f t="shared" si="38"/>
        <v>145</v>
      </c>
      <c r="B169" s="296" t="s">
        <v>470</v>
      </c>
      <c r="C169" s="51" t="s">
        <v>66</v>
      </c>
      <c r="D169" s="111">
        <v>2959</v>
      </c>
      <c r="E169" s="280">
        <v>2945.3</v>
      </c>
      <c r="F169" s="54">
        <f t="shared" si="51"/>
        <v>2024746.49</v>
      </c>
      <c r="G169" s="54">
        <f t="shared" si="56"/>
        <v>2024746.49</v>
      </c>
      <c r="H169" s="54">
        <f t="shared" si="52"/>
        <v>687.45000169761988</v>
      </c>
      <c r="I169" s="311">
        <v>0</v>
      </c>
      <c r="J169" s="54">
        <v>0</v>
      </c>
      <c r="K169" s="53">
        <f t="shared" si="49"/>
        <v>0</v>
      </c>
      <c r="L169" s="53">
        <v>0</v>
      </c>
      <c r="M169" s="53"/>
      <c r="N169" s="54">
        <v>0</v>
      </c>
      <c r="O169" s="53">
        <f t="shared" si="53"/>
        <v>0</v>
      </c>
      <c r="P169" s="54">
        <v>0</v>
      </c>
      <c r="Q169" s="53"/>
      <c r="R169" s="54">
        <v>0</v>
      </c>
      <c r="S169" s="54">
        <v>0</v>
      </c>
      <c r="T169" s="54">
        <v>0</v>
      </c>
      <c r="U169" s="54">
        <v>0</v>
      </c>
      <c r="V169" s="111">
        <f t="shared" si="54"/>
        <v>2024746.49</v>
      </c>
      <c r="W169" s="71">
        <v>2017</v>
      </c>
      <c r="X169" s="71">
        <v>2017</v>
      </c>
      <c r="Y169" s="281" t="s">
        <v>155</v>
      </c>
      <c r="Z169" s="282">
        <v>5</v>
      </c>
      <c r="AA169" s="282" t="s">
        <v>169</v>
      </c>
    </row>
    <row r="170" spans="1:27" s="24" customFormat="1" ht="18" customHeight="1">
      <c r="A170" s="71">
        <f t="shared" si="38"/>
        <v>146</v>
      </c>
      <c r="B170" s="296" t="s">
        <v>471</v>
      </c>
      <c r="C170" s="51" t="s">
        <v>66</v>
      </c>
      <c r="D170" s="111">
        <v>2495.6</v>
      </c>
      <c r="E170" s="280">
        <v>2481.6</v>
      </c>
      <c r="F170" s="54">
        <f t="shared" si="51"/>
        <v>1705975.92</v>
      </c>
      <c r="G170" s="54">
        <f t="shared" si="56"/>
        <v>1705975.92</v>
      </c>
      <c r="H170" s="54">
        <f t="shared" si="52"/>
        <v>687.45</v>
      </c>
      <c r="I170" s="311">
        <v>0</v>
      </c>
      <c r="J170" s="54">
        <v>0</v>
      </c>
      <c r="K170" s="53">
        <f t="shared" si="49"/>
        <v>0</v>
      </c>
      <c r="L170" s="53">
        <v>0</v>
      </c>
      <c r="M170" s="53"/>
      <c r="N170" s="54">
        <v>0</v>
      </c>
      <c r="O170" s="53">
        <f t="shared" si="53"/>
        <v>0</v>
      </c>
      <c r="P170" s="54">
        <v>0</v>
      </c>
      <c r="Q170" s="53"/>
      <c r="R170" s="54">
        <v>0</v>
      </c>
      <c r="S170" s="54">
        <v>0</v>
      </c>
      <c r="T170" s="54">
        <v>0</v>
      </c>
      <c r="U170" s="54">
        <v>0</v>
      </c>
      <c r="V170" s="111">
        <f t="shared" si="54"/>
        <v>1705975.92</v>
      </c>
      <c r="W170" s="71">
        <v>2017</v>
      </c>
      <c r="X170" s="71">
        <v>2017</v>
      </c>
      <c r="Y170" s="281" t="s">
        <v>155</v>
      </c>
      <c r="Z170" s="282">
        <v>5</v>
      </c>
      <c r="AA170" s="283" t="s">
        <v>169</v>
      </c>
    </row>
    <row r="171" spans="1:27" s="24" customFormat="1" ht="18" customHeight="1">
      <c r="A171" s="71">
        <f t="shared" si="38"/>
        <v>147</v>
      </c>
      <c r="B171" s="296" t="s">
        <v>472</v>
      </c>
      <c r="C171" s="51" t="s">
        <v>66</v>
      </c>
      <c r="D171" s="111">
        <v>2979</v>
      </c>
      <c r="E171" s="280">
        <v>2960.3</v>
      </c>
      <c r="F171" s="54">
        <f t="shared" si="51"/>
        <v>2035058.24</v>
      </c>
      <c r="G171" s="54">
        <f t="shared" si="56"/>
        <v>2035058.24</v>
      </c>
      <c r="H171" s="54">
        <f t="shared" si="52"/>
        <v>687.45000168901799</v>
      </c>
      <c r="I171" s="311">
        <v>0</v>
      </c>
      <c r="J171" s="54">
        <v>0</v>
      </c>
      <c r="K171" s="53">
        <f t="shared" si="49"/>
        <v>0</v>
      </c>
      <c r="L171" s="53">
        <v>0</v>
      </c>
      <c r="M171" s="53"/>
      <c r="N171" s="54">
        <v>0</v>
      </c>
      <c r="O171" s="53">
        <f t="shared" si="53"/>
        <v>0</v>
      </c>
      <c r="P171" s="54">
        <v>0</v>
      </c>
      <c r="Q171" s="53"/>
      <c r="R171" s="54">
        <v>0</v>
      </c>
      <c r="S171" s="54">
        <v>0</v>
      </c>
      <c r="T171" s="54">
        <v>0</v>
      </c>
      <c r="U171" s="54">
        <v>0</v>
      </c>
      <c r="V171" s="111">
        <f t="shared" si="54"/>
        <v>2035058.24</v>
      </c>
      <c r="W171" s="71">
        <v>2017</v>
      </c>
      <c r="X171" s="71">
        <v>2017</v>
      </c>
      <c r="Y171" s="281" t="s">
        <v>155</v>
      </c>
      <c r="Z171" s="282">
        <v>5</v>
      </c>
      <c r="AA171" s="283" t="s">
        <v>169</v>
      </c>
    </row>
    <row r="172" spans="1:27" s="24" customFormat="1" ht="18" customHeight="1">
      <c r="A172" s="71">
        <f t="shared" si="38"/>
        <v>148</v>
      </c>
      <c r="B172" s="296" t="s">
        <v>51</v>
      </c>
      <c r="C172" s="51" t="s">
        <v>102</v>
      </c>
      <c r="D172" s="111">
        <v>2818.7</v>
      </c>
      <c r="E172" s="280">
        <v>2796.3</v>
      </c>
      <c r="F172" s="54">
        <f t="shared" si="51"/>
        <v>3370911.69</v>
      </c>
      <c r="G172" s="54">
        <f>ROUND((151+215+321.45+518.04)*E172,2)</f>
        <v>3370911.69</v>
      </c>
      <c r="H172" s="54">
        <f t="shared" si="52"/>
        <v>1205.4900010728461</v>
      </c>
      <c r="I172" s="54">
        <v>0</v>
      </c>
      <c r="J172" s="54">
        <v>0</v>
      </c>
      <c r="K172" s="53">
        <f t="shared" si="49"/>
        <v>0</v>
      </c>
      <c r="L172" s="53">
        <v>0</v>
      </c>
      <c r="M172" s="53"/>
      <c r="N172" s="54">
        <v>0</v>
      </c>
      <c r="O172" s="53">
        <f t="shared" si="53"/>
        <v>0</v>
      </c>
      <c r="P172" s="54">
        <v>0</v>
      </c>
      <c r="Q172" s="53"/>
      <c r="R172" s="54">
        <v>0</v>
      </c>
      <c r="S172" s="54">
        <v>0</v>
      </c>
      <c r="T172" s="54">
        <v>0</v>
      </c>
      <c r="U172" s="54">
        <v>0</v>
      </c>
      <c r="V172" s="111">
        <f t="shared" si="54"/>
        <v>3370911.69</v>
      </c>
      <c r="W172" s="71">
        <v>2017</v>
      </c>
      <c r="X172" s="71">
        <v>2017</v>
      </c>
      <c r="Y172" s="281" t="s">
        <v>155</v>
      </c>
      <c r="Z172" s="282">
        <v>5</v>
      </c>
      <c r="AA172" s="283" t="s">
        <v>169</v>
      </c>
    </row>
    <row r="173" spans="1:27" s="24" customFormat="1" ht="18" customHeight="1">
      <c r="A173" s="71">
        <f t="shared" si="38"/>
        <v>149</v>
      </c>
      <c r="B173" s="296" t="s">
        <v>473</v>
      </c>
      <c r="C173" s="51" t="s">
        <v>65</v>
      </c>
      <c r="D173" s="111">
        <v>2606.8000000000002</v>
      </c>
      <c r="E173" s="280">
        <v>2575.6999999999998</v>
      </c>
      <c r="F173" s="54">
        <f t="shared" si="51"/>
        <v>1665473.38</v>
      </c>
      <c r="G173" s="54">
        <f>ROUND((145.42+205.56+295.63)*E173,2)</f>
        <v>1665473.38</v>
      </c>
      <c r="H173" s="54">
        <f t="shared" si="52"/>
        <v>646.6100011647319</v>
      </c>
      <c r="I173" s="54">
        <v>0</v>
      </c>
      <c r="J173" s="54">
        <v>0</v>
      </c>
      <c r="K173" s="53">
        <f t="shared" si="49"/>
        <v>0</v>
      </c>
      <c r="L173" s="53">
        <v>0</v>
      </c>
      <c r="M173" s="53"/>
      <c r="N173" s="54">
        <v>0</v>
      </c>
      <c r="O173" s="53">
        <f t="shared" si="53"/>
        <v>0</v>
      </c>
      <c r="P173" s="54">
        <v>0</v>
      </c>
      <c r="Q173" s="53"/>
      <c r="R173" s="54">
        <v>0</v>
      </c>
      <c r="S173" s="54">
        <v>0</v>
      </c>
      <c r="T173" s="54">
        <v>0</v>
      </c>
      <c r="U173" s="54">
        <v>0</v>
      </c>
      <c r="V173" s="111">
        <f t="shared" si="54"/>
        <v>1665473.38</v>
      </c>
      <c r="W173" s="71">
        <v>2017</v>
      </c>
      <c r="X173" s="71">
        <v>2017</v>
      </c>
      <c r="Y173" s="281" t="s">
        <v>154</v>
      </c>
      <c r="Z173" s="282">
        <v>5</v>
      </c>
      <c r="AA173" s="283" t="s">
        <v>169</v>
      </c>
    </row>
    <row r="174" spans="1:27" s="24" customFormat="1" ht="18" customHeight="1">
      <c r="A174" s="71">
        <f t="shared" si="38"/>
        <v>150</v>
      </c>
      <c r="B174" s="296" t="s">
        <v>111</v>
      </c>
      <c r="C174" s="51" t="s">
        <v>56</v>
      </c>
      <c r="D174" s="111">
        <v>311.8</v>
      </c>
      <c r="E174" s="280">
        <v>282.89999999999998</v>
      </c>
      <c r="F174" s="54">
        <f t="shared" si="51"/>
        <v>341033.12</v>
      </c>
      <c r="G174" s="54">
        <f>ROUND((151+215+321.45+518.04)*E174,2)</f>
        <v>341033.12</v>
      </c>
      <c r="H174" s="54">
        <f t="shared" si="52"/>
        <v>1205.4899964651822</v>
      </c>
      <c r="I174" s="54">
        <v>0</v>
      </c>
      <c r="J174" s="54">
        <v>0</v>
      </c>
      <c r="K174" s="53">
        <f t="shared" si="49"/>
        <v>0</v>
      </c>
      <c r="L174" s="54">
        <v>0</v>
      </c>
      <c r="M174" s="54"/>
      <c r="N174" s="54">
        <v>0</v>
      </c>
      <c r="O174" s="53">
        <f t="shared" si="53"/>
        <v>0</v>
      </c>
      <c r="P174" s="54">
        <v>0</v>
      </c>
      <c r="Q174" s="54"/>
      <c r="R174" s="54">
        <v>0</v>
      </c>
      <c r="S174" s="54">
        <v>0</v>
      </c>
      <c r="T174" s="54">
        <v>0</v>
      </c>
      <c r="U174" s="54">
        <v>0</v>
      </c>
      <c r="V174" s="111">
        <f t="shared" si="54"/>
        <v>341033.12</v>
      </c>
      <c r="W174" s="71">
        <v>2017</v>
      </c>
      <c r="X174" s="71">
        <v>2017</v>
      </c>
      <c r="Y174" s="281" t="s">
        <v>155</v>
      </c>
      <c r="Z174" s="282">
        <v>2</v>
      </c>
      <c r="AA174" s="283" t="s">
        <v>170</v>
      </c>
    </row>
    <row r="175" spans="1:27" s="24" customFormat="1" ht="18" customHeight="1">
      <c r="A175" s="71">
        <f t="shared" si="38"/>
        <v>151</v>
      </c>
      <c r="B175" s="296" t="s">
        <v>228</v>
      </c>
      <c r="C175" s="51" t="s">
        <v>66</v>
      </c>
      <c r="D175" s="111">
        <v>1860.4</v>
      </c>
      <c r="E175" s="280">
        <v>1260.9000000000001</v>
      </c>
      <c r="F175" s="54">
        <f t="shared" si="51"/>
        <v>1112239.8899999999</v>
      </c>
      <c r="G175" s="54">
        <v>0</v>
      </c>
      <c r="H175" s="54">
        <f t="shared" si="52"/>
        <v>0</v>
      </c>
      <c r="I175" s="54">
        <v>0</v>
      </c>
      <c r="J175" s="54">
        <v>0</v>
      </c>
      <c r="K175" s="53">
        <f t="shared" si="49"/>
        <v>0</v>
      </c>
      <c r="L175" s="53">
        <v>0</v>
      </c>
      <c r="M175" s="53"/>
      <c r="N175" s="53">
        <f t="shared" ref="N175:N176" si="57">ROUND(882.1*E175,2)</f>
        <v>1112239.8899999999</v>
      </c>
      <c r="O175" s="53">
        <f t="shared" si="53"/>
        <v>882.09999999999991</v>
      </c>
      <c r="P175" s="54">
        <v>0</v>
      </c>
      <c r="Q175" s="53"/>
      <c r="R175" s="54">
        <v>0</v>
      </c>
      <c r="S175" s="54">
        <v>0</v>
      </c>
      <c r="T175" s="54">
        <v>0</v>
      </c>
      <c r="U175" s="54">
        <v>0</v>
      </c>
      <c r="V175" s="111">
        <f t="shared" si="54"/>
        <v>1112239.8899999999</v>
      </c>
      <c r="W175" s="71">
        <v>2017</v>
      </c>
      <c r="X175" s="71">
        <v>2017</v>
      </c>
      <c r="Y175" s="281" t="s">
        <v>155</v>
      </c>
      <c r="Z175" s="282">
        <v>5</v>
      </c>
      <c r="AA175" s="283" t="s">
        <v>170</v>
      </c>
    </row>
    <row r="176" spans="1:27" s="24" customFormat="1" ht="18" customHeight="1">
      <c r="A176" s="71">
        <f t="shared" si="38"/>
        <v>152</v>
      </c>
      <c r="B176" s="296" t="s">
        <v>264</v>
      </c>
      <c r="C176" s="51" t="s">
        <v>18</v>
      </c>
      <c r="D176" s="111">
        <v>692.2</v>
      </c>
      <c r="E176" s="280">
        <v>626.9</v>
      </c>
      <c r="F176" s="54">
        <f t="shared" si="51"/>
        <v>1782471.04</v>
      </c>
      <c r="G176" s="54">
        <f>ROUND((151+215)*E176,2)</f>
        <v>229445.4</v>
      </c>
      <c r="H176" s="54">
        <f t="shared" si="52"/>
        <v>366</v>
      </c>
      <c r="I176" s="54">
        <v>0</v>
      </c>
      <c r="J176" s="53">
        <f>ROUND(1595.21*E176,2)</f>
        <v>1000037.15</v>
      </c>
      <c r="K176" s="53">
        <f t="shared" si="49"/>
        <v>1595.2100015951507</v>
      </c>
      <c r="L176" s="53">
        <v>0</v>
      </c>
      <c r="M176" s="53"/>
      <c r="N176" s="53">
        <f t="shared" si="57"/>
        <v>552988.49</v>
      </c>
      <c r="O176" s="53">
        <f t="shared" si="53"/>
        <v>882.1</v>
      </c>
      <c r="P176" s="54">
        <v>0</v>
      </c>
      <c r="Q176" s="53"/>
      <c r="R176" s="54">
        <v>0</v>
      </c>
      <c r="S176" s="54">
        <v>0</v>
      </c>
      <c r="T176" s="54">
        <v>0</v>
      </c>
      <c r="U176" s="54">
        <v>0</v>
      </c>
      <c r="V176" s="111">
        <f t="shared" si="54"/>
        <v>1782471.04</v>
      </c>
      <c r="W176" s="71">
        <v>2017</v>
      </c>
      <c r="X176" s="71">
        <v>2017</v>
      </c>
      <c r="Y176" s="281" t="s">
        <v>155</v>
      </c>
      <c r="Z176" s="282">
        <v>2</v>
      </c>
      <c r="AA176" s="283" t="s">
        <v>170</v>
      </c>
    </row>
    <row r="177" spans="1:27" s="24" customFormat="1" ht="18" customHeight="1">
      <c r="A177" s="71">
        <f t="shared" si="38"/>
        <v>153</v>
      </c>
      <c r="B177" s="296" t="s">
        <v>265</v>
      </c>
      <c r="C177" s="51" t="s">
        <v>98</v>
      </c>
      <c r="D177" s="111">
        <v>7753.1</v>
      </c>
      <c r="E177" s="280">
        <v>7734</v>
      </c>
      <c r="F177" s="54">
        <f t="shared" si="51"/>
        <v>4021580.94</v>
      </c>
      <c r="G177" s="54">
        <v>0</v>
      </c>
      <c r="H177" s="54">
        <f t="shared" si="52"/>
        <v>0</v>
      </c>
      <c r="I177" s="286">
        <v>4021580.94</v>
      </c>
      <c r="J177" s="54">
        <v>0</v>
      </c>
      <c r="K177" s="53">
        <f t="shared" si="49"/>
        <v>0</v>
      </c>
      <c r="L177" s="53">
        <v>0</v>
      </c>
      <c r="M177" s="53"/>
      <c r="N177" s="54">
        <v>0</v>
      </c>
      <c r="O177" s="53">
        <f t="shared" si="53"/>
        <v>0</v>
      </c>
      <c r="P177" s="54">
        <v>0</v>
      </c>
      <c r="Q177" s="53"/>
      <c r="R177" s="54">
        <v>0</v>
      </c>
      <c r="S177" s="54">
        <v>0</v>
      </c>
      <c r="T177" s="54">
        <v>0</v>
      </c>
      <c r="U177" s="54">
        <v>0</v>
      </c>
      <c r="V177" s="111">
        <f t="shared" si="54"/>
        <v>4021580.94</v>
      </c>
      <c r="W177" s="71">
        <v>2017</v>
      </c>
      <c r="X177" s="71">
        <v>2017</v>
      </c>
      <c r="Y177" s="281" t="s">
        <v>154</v>
      </c>
      <c r="Z177" s="282">
        <v>9</v>
      </c>
      <c r="AA177" s="283" t="s">
        <v>169</v>
      </c>
    </row>
    <row r="178" spans="1:27" s="24" customFormat="1" ht="18" customHeight="1">
      <c r="A178" s="71">
        <f t="shared" si="38"/>
        <v>154</v>
      </c>
      <c r="B178" s="296" t="s">
        <v>185</v>
      </c>
      <c r="C178" s="40" t="s">
        <v>478</v>
      </c>
      <c r="D178" s="111">
        <v>1647.7</v>
      </c>
      <c r="E178" s="280">
        <v>1293.8</v>
      </c>
      <c r="F178" s="54">
        <f t="shared" si="51"/>
        <v>2063882.7</v>
      </c>
      <c r="G178" s="54">
        <v>0</v>
      </c>
      <c r="H178" s="54">
        <f t="shared" si="52"/>
        <v>0</v>
      </c>
      <c r="I178" s="54">
        <v>0</v>
      </c>
      <c r="J178" s="53">
        <f>ROUND(1595.21*E178,2)</f>
        <v>2063882.7</v>
      </c>
      <c r="K178" s="53">
        <f t="shared" si="49"/>
        <v>1595.2100015458341</v>
      </c>
      <c r="L178" s="54">
        <v>0</v>
      </c>
      <c r="M178" s="54"/>
      <c r="N178" s="54">
        <v>0</v>
      </c>
      <c r="O178" s="53">
        <f t="shared" si="53"/>
        <v>0</v>
      </c>
      <c r="P178" s="54">
        <v>0</v>
      </c>
      <c r="Q178" s="54">
        <f>P178/E178</f>
        <v>0</v>
      </c>
      <c r="R178" s="54">
        <v>0</v>
      </c>
      <c r="S178" s="54">
        <v>0</v>
      </c>
      <c r="T178" s="54">
        <v>0</v>
      </c>
      <c r="U178" s="54">
        <v>0</v>
      </c>
      <c r="V178" s="111">
        <f t="shared" si="54"/>
        <v>2063882.7</v>
      </c>
      <c r="W178" s="71">
        <v>2017</v>
      </c>
      <c r="X178" s="71">
        <v>2017</v>
      </c>
      <c r="Y178" s="281" t="s">
        <v>155</v>
      </c>
      <c r="Z178" s="282">
        <v>2</v>
      </c>
      <c r="AA178" s="283" t="s">
        <v>170</v>
      </c>
    </row>
    <row r="179" spans="1:27" s="24" customFormat="1" ht="18" customHeight="1">
      <c r="A179" s="71">
        <f t="shared" si="38"/>
        <v>155</v>
      </c>
      <c r="B179" s="296" t="s">
        <v>237</v>
      </c>
      <c r="C179" s="51">
        <v>1099.9000000000001</v>
      </c>
      <c r="D179" s="111">
        <v>1099.9000000000001</v>
      </c>
      <c r="E179" s="280">
        <v>977.5</v>
      </c>
      <c r="F179" s="54">
        <f t="shared" si="51"/>
        <v>1661212.38</v>
      </c>
      <c r="G179" s="53">
        <f>ROUND((493.96+518.04+151+215+321.45)*E179,2)</f>
        <v>1661212.38</v>
      </c>
      <c r="H179" s="54">
        <f t="shared" si="52"/>
        <v>1699.4500051150894</v>
      </c>
      <c r="I179" s="54">
        <v>0</v>
      </c>
      <c r="J179" s="54">
        <v>0</v>
      </c>
      <c r="K179" s="53">
        <f t="shared" si="49"/>
        <v>0</v>
      </c>
      <c r="L179" s="53">
        <v>0</v>
      </c>
      <c r="M179" s="53"/>
      <c r="N179" s="54">
        <v>0</v>
      </c>
      <c r="O179" s="53">
        <f t="shared" si="53"/>
        <v>0</v>
      </c>
      <c r="P179" s="54">
        <v>0</v>
      </c>
      <c r="Q179" s="53"/>
      <c r="R179" s="54">
        <v>0</v>
      </c>
      <c r="S179" s="54">
        <v>0</v>
      </c>
      <c r="T179" s="54">
        <v>0</v>
      </c>
      <c r="U179" s="54">
        <v>0</v>
      </c>
      <c r="V179" s="111">
        <f t="shared" si="54"/>
        <v>1661212.38</v>
      </c>
      <c r="W179" s="71">
        <v>2017</v>
      </c>
      <c r="X179" s="71">
        <v>2017</v>
      </c>
      <c r="Y179" s="281" t="s">
        <v>155</v>
      </c>
      <c r="Z179" s="282">
        <v>2</v>
      </c>
      <c r="AA179" s="283" t="s">
        <v>170</v>
      </c>
    </row>
    <row r="180" spans="1:27" s="24" customFormat="1" ht="18" customHeight="1">
      <c r="A180" s="71">
        <f t="shared" si="38"/>
        <v>156</v>
      </c>
      <c r="B180" s="296" t="s">
        <v>202</v>
      </c>
      <c r="C180" s="40" t="s">
        <v>66</v>
      </c>
      <c r="D180" s="111">
        <v>1644.3</v>
      </c>
      <c r="E180" s="280">
        <v>1272.8</v>
      </c>
      <c r="F180" s="54">
        <f t="shared" si="51"/>
        <v>273652</v>
      </c>
      <c r="G180" s="54">
        <f>ROUND(215*E180,2)</f>
        <v>273652</v>
      </c>
      <c r="H180" s="54">
        <f t="shared" si="52"/>
        <v>215</v>
      </c>
      <c r="I180" s="54">
        <v>0</v>
      </c>
      <c r="J180" s="54">
        <v>0</v>
      </c>
      <c r="K180" s="53">
        <f t="shared" si="49"/>
        <v>0</v>
      </c>
      <c r="L180" s="54">
        <v>0</v>
      </c>
      <c r="M180" s="54"/>
      <c r="N180" s="54">
        <v>0</v>
      </c>
      <c r="O180" s="53">
        <f t="shared" si="53"/>
        <v>0</v>
      </c>
      <c r="P180" s="54">
        <v>0</v>
      </c>
      <c r="Q180" s="54"/>
      <c r="R180" s="54">
        <v>0</v>
      </c>
      <c r="S180" s="54">
        <v>0</v>
      </c>
      <c r="T180" s="54">
        <v>0</v>
      </c>
      <c r="U180" s="54">
        <v>0</v>
      </c>
      <c r="V180" s="111">
        <f t="shared" si="54"/>
        <v>273652</v>
      </c>
      <c r="W180" s="71">
        <v>2017</v>
      </c>
      <c r="X180" s="71">
        <v>2017</v>
      </c>
      <c r="Y180" s="281" t="s">
        <v>155</v>
      </c>
      <c r="Z180" s="282">
        <v>5</v>
      </c>
      <c r="AA180" s="283" t="s">
        <v>170</v>
      </c>
    </row>
    <row r="181" spans="1:27" s="24" customFormat="1" ht="18" customHeight="1">
      <c r="A181" s="71">
        <f t="shared" si="38"/>
        <v>157</v>
      </c>
      <c r="B181" s="312" t="s">
        <v>52</v>
      </c>
      <c r="C181" s="51" t="s">
        <v>76</v>
      </c>
      <c r="D181" s="111">
        <v>1082.7</v>
      </c>
      <c r="E181" s="280">
        <v>551.6</v>
      </c>
      <c r="F181" s="54">
        <f t="shared" si="51"/>
        <v>137260.14000000001</v>
      </c>
      <c r="G181" s="54">
        <v>0</v>
      </c>
      <c r="H181" s="54">
        <f t="shared" si="52"/>
        <v>0</v>
      </c>
      <c r="I181" s="54">
        <v>0</v>
      </c>
      <c r="J181" s="54">
        <v>0</v>
      </c>
      <c r="K181" s="53">
        <f t="shared" si="49"/>
        <v>0</v>
      </c>
      <c r="L181" s="53">
        <v>0</v>
      </c>
      <c r="M181" s="53"/>
      <c r="N181" s="54">
        <v>0</v>
      </c>
      <c r="O181" s="53">
        <f t="shared" si="53"/>
        <v>0</v>
      </c>
      <c r="P181" s="54">
        <v>137260.14000000001</v>
      </c>
      <c r="Q181" s="54">
        <f>P181/E181</f>
        <v>248.83999274836839</v>
      </c>
      <c r="R181" s="54">
        <v>0</v>
      </c>
      <c r="S181" s="54">
        <v>0</v>
      </c>
      <c r="T181" s="54">
        <v>0</v>
      </c>
      <c r="U181" s="54">
        <v>0</v>
      </c>
      <c r="V181" s="111">
        <f t="shared" si="54"/>
        <v>137260.14000000001</v>
      </c>
      <c r="W181" s="71">
        <v>2017</v>
      </c>
      <c r="X181" s="71">
        <v>2017</v>
      </c>
      <c r="Y181" s="281" t="s">
        <v>155</v>
      </c>
      <c r="Z181" s="282">
        <v>2</v>
      </c>
      <c r="AA181" s="283" t="s">
        <v>170</v>
      </c>
    </row>
    <row r="182" spans="1:27" s="24" customFormat="1" ht="18" customHeight="1">
      <c r="A182" s="71">
        <f t="shared" si="38"/>
        <v>158</v>
      </c>
      <c r="B182" s="278" t="s">
        <v>240</v>
      </c>
      <c r="C182" s="51" t="s">
        <v>485</v>
      </c>
      <c r="D182" s="111">
        <v>2389.4</v>
      </c>
      <c r="E182" s="313">
        <v>2371.5</v>
      </c>
      <c r="F182" s="54">
        <f t="shared" si="51"/>
        <v>487485.54</v>
      </c>
      <c r="G182" s="54">
        <f>ROUND(205.56*E182,2)</f>
        <v>487485.54</v>
      </c>
      <c r="H182" s="54">
        <f t="shared" si="52"/>
        <v>205.56</v>
      </c>
      <c r="I182" s="54">
        <v>0</v>
      </c>
      <c r="J182" s="54">
        <v>0</v>
      </c>
      <c r="K182" s="53">
        <f t="shared" si="49"/>
        <v>0</v>
      </c>
      <c r="L182" s="53">
        <v>0</v>
      </c>
      <c r="M182" s="53"/>
      <c r="N182" s="54">
        <v>0</v>
      </c>
      <c r="O182" s="53">
        <f t="shared" si="53"/>
        <v>0</v>
      </c>
      <c r="P182" s="54">
        <v>0</v>
      </c>
      <c r="Q182" s="53"/>
      <c r="R182" s="54">
        <v>0</v>
      </c>
      <c r="S182" s="54">
        <v>0</v>
      </c>
      <c r="T182" s="54">
        <v>0</v>
      </c>
      <c r="U182" s="54">
        <v>0</v>
      </c>
      <c r="V182" s="111">
        <f t="shared" si="54"/>
        <v>487485.54</v>
      </c>
      <c r="W182" s="71">
        <v>2017</v>
      </c>
      <c r="X182" s="71">
        <v>2017</v>
      </c>
      <c r="Y182" s="314" t="s">
        <v>154</v>
      </c>
      <c r="Z182" s="315">
        <v>5</v>
      </c>
      <c r="AA182" s="316" t="s">
        <v>169</v>
      </c>
    </row>
    <row r="183" spans="1:27" s="24" customFormat="1" ht="18" customHeight="1">
      <c r="A183" s="71">
        <f t="shared" si="38"/>
        <v>159</v>
      </c>
      <c r="B183" s="296" t="s">
        <v>435</v>
      </c>
      <c r="C183" s="40" t="s">
        <v>74</v>
      </c>
      <c r="D183" s="111">
        <v>1563.6</v>
      </c>
      <c r="E183" s="280">
        <v>1548</v>
      </c>
      <c r="F183" s="54">
        <f t="shared" si="51"/>
        <v>3533557.68</v>
      </c>
      <c r="G183" s="54">
        <f>ROUND((151+215+321.45)*E183,2)</f>
        <v>1064172.6000000001</v>
      </c>
      <c r="H183" s="54">
        <f t="shared" si="52"/>
        <v>687.45</v>
      </c>
      <c r="I183" s="54">
        <v>0</v>
      </c>
      <c r="J183" s="53">
        <f>ROUND(1595.21*E183,2)</f>
        <v>2469385.08</v>
      </c>
      <c r="K183" s="53">
        <f t="shared" si="49"/>
        <v>1595.21</v>
      </c>
      <c r="L183" s="54">
        <v>0</v>
      </c>
      <c r="M183" s="54"/>
      <c r="N183" s="54">
        <v>0</v>
      </c>
      <c r="O183" s="53">
        <f t="shared" si="53"/>
        <v>0</v>
      </c>
      <c r="P183" s="54">
        <v>0</v>
      </c>
      <c r="Q183" s="54"/>
      <c r="R183" s="54">
        <v>0</v>
      </c>
      <c r="S183" s="54">
        <v>0</v>
      </c>
      <c r="T183" s="54">
        <v>0</v>
      </c>
      <c r="U183" s="54">
        <v>0</v>
      </c>
      <c r="V183" s="111">
        <f t="shared" si="54"/>
        <v>3533557.68</v>
      </c>
      <c r="W183" s="71">
        <v>2017</v>
      </c>
      <c r="X183" s="71">
        <v>2017</v>
      </c>
      <c r="Y183" s="281" t="s">
        <v>155</v>
      </c>
      <c r="Z183" s="282">
        <v>4</v>
      </c>
      <c r="AA183" s="283" t="s">
        <v>170</v>
      </c>
    </row>
    <row r="184" spans="1:27" s="24" customFormat="1" ht="18" customHeight="1">
      <c r="A184" s="71">
        <f t="shared" si="38"/>
        <v>160</v>
      </c>
      <c r="B184" s="296" t="s">
        <v>474</v>
      </c>
      <c r="C184" s="51" t="s">
        <v>21</v>
      </c>
      <c r="D184" s="111">
        <v>3848.7</v>
      </c>
      <c r="E184" s="280">
        <v>3802.3</v>
      </c>
      <c r="F184" s="54">
        <f t="shared" si="51"/>
        <v>642854.86</v>
      </c>
      <c r="G184" s="54">
        <f>ROUND(169.07*E184,2)</f>
        <v>642854.86</v>
      </c>
      <c r="H184" s="54">
        <f t="shared" si="52"/>
        <v>169.06999973700127</v>
      </c>
      <c r="I184" s="54">
        <v>0</v>
      </c>
      <c r="J184" s="54">
        <v>0</v>
      </c>
      <c r="K184" s="53">
        <f t="shared" si="49"/>
        <v>0</v>
      </c>
      <c r="L184" s="53">
        <v>0</v>
      </c>
      <c r="M184" s="53"/>
      <c r="N184" s="54">
        <v>0</v>
      </c>
      <c r="O184" s="53">
        <f t="shared" si="53"/>
        <v>0</v>
      </c>
      <c r="P184" s="54">
        <v>0</v>
      </c>
      <c r="Q184" s="53"/>
      <c r="R184" s="54">
        <v>0</v>
      </c>
      <c r="S184" s="54">
        <v>0</v>
      </c>
      <c r="T184" s="54">
        <v>0</v>
      </c>
      <c r="U184" s="54">
        <v>0</v>
      </c>
      <c r="V184" s="111">
        <f t="shared" si="54"/>
        <v>642854.86</v>
      </c>
      <c r="W184" s="71">
        <v>2017</v>
      </c>
      <c r="X184" s="71">
        <v>2017</v>
      </c>
      <c r="Y184" s="281" t="s">
        <v>154</v>
      </c>
      <c r="Z184" s="282">
        <v>9</v>
      </c>
      <c r="AA184" s="283" t="s">
        <v>169</v>
      </c>
    </row>
    <row r="185" spans="1:27" s="24" customFormat="1" ht="18" customHeight="1">
      <c r="A185" s="71">
        <f t="shared" si="38"/>
        <v>161</v>
      </c>
      <c r="B185" s="296" t="s">
        <v>173</v>
      </c>
      <c r="C185" s="40" t="s">
        <v>66</v>
      </c>
      <c r="D185" s="111">
        <v>3241.9</v>
      </c>
      <c r="E185" s="280">
        <v>2957.2</v>
      </c>
      <c r="F185" s="54">
        <f t="shared" si="51"/>
        <v>2704477.69</v>
      </c>
      <c r="G185" s="54">
        <v>0</v>
      </c>
      <c r="H185" s="54">
        <f t="shared" si="52"/>
        <v>0</v>
      </c>
      <c r="I185" s="311">
        <v>0</v>
      </c>
      <c r="J185" s="76">
        <f>ROUND(914.54*E185,2)</f>
        <v>2704477.69</v>
      </c>
      <c r="K185" s="53">
        <f t="shared" si="49"/>
        <v>914.54000067631546</v>
      </c>
      <c r="L185" s="54">
        <v>0</v>
      </c>
      <c r="M185" s="54"/>
      <c r="N185" s="54">
        <v>0</v>
      </c>
      <c r="O185" s="53">
        <f t="shared" si="53"/>
        <v>0</v>
      </c>
      <c r="P185" s="54">
        <v>0</v>
      </c>
      <c r="Q185" s="54"/>
      <c r="R185" s="54">
        <v>0</v>
      </c>
      <c r="S185" s="54">
        <v>0</v>
      </c>
      <c r="T185" s="54">
        <v>0</v>
      </c>
      <c r="U185" s="54">
        <v>0</v>
      </c>
      <c r="V185" s="111">
        <f t="shared" si="54"/>
        <v>2704477.69</v>
      </c>
      <c r="W185" s="71">
        <v>2017</v>
      </c>
      <c r="X185" s="71">
        <v>2017</v>
      </c>
      <c r="Y185" s="281" t="s">
        <v>155</v>
      </c>
      <c r="Z185" s="282">
        <v>5</v>
      </c>
      <c r="AA185" s="283" t="s">
        <v>169</v>
      </c>
    </row>
    <row r="186" spans="1:27" s="24" customFormat="1" ht="18" customHeight="1">
      <c r="A186" s="71">
        <f t="shared" si="38"/>
        <v>162</v>
      </c>
      <c r="B186" s="296" t="s">
        <v>195</v>
      </c>
      <c r="C186" s="40" t="s">
        <v>66</v>
      </c>
      <c r="D186" s="111">
        <v>2997.6</v>
      </c>
      <c r="E186" s="280">
        <v>2380.1999999999998</v>
      </c>
      <c r="F186" s="54">
        <f t="shared" si="51"/>
        <v>1636268.49</v>
      </c>
      <c r="G186" s="54">
        <f t="shared" ref="G186:G187" si="58">ROUND((151+215+321.45)*E186,2)</f>
        <v>1636268.49</v>
      </c>
      <c r="H186" s="54">
        <f t="shared" si="52"/>
        <v>687.45</v>
      </c>
      <c r="I186" s="54">
        <v>0</v>
      </c>
      <c r="J186" s="54">
        <v>0</v>
      </c>
      <c r="K186" s="53">
        <f t="shared" si="49"/>
        <v>0</v>
      </c>
      <c r="L186" s="54">
        <v>0</v>
      </c>
      <c r="M186" s="54"/>
      <c r="N186" s="54">
        <v>0</v>
      </c>
      <c r="O186" s="53">
        <f t="shared" si="53"/>
        <v>0</v>
      </c>
      <c r="P186" s="54">
        <v>0</v>
      </c>
      <c r="Q186" s="54"/>
      <c r="R186" s="54">
        <v>0</v>
      </c>
      <c r="S186" s="54">
        <v>0</v>
      </c>
      <c r="T186" s="54">
        <v>0</v>
      </c>
      <c r="U186" s="54">
        <v>0</v>
      </c>
      <c r="V186" s="111">
        <f t="shared" si="54"/>
        <v>1636268.49</v>
      </c>
      <c r="W186" s="71">
        <v>2017</v>
      </c>
      <c r="X186" s="71">
        <v>2017</v>
      </c>
      <c r="Y186" s="281" t="s">
        <v>155</v>
      </c>
      <c r="Z186" s="282">
        <v>5</v>
      </c>
      <c r="AA186" s="283" t="s">
        <v>170</v>
      </c>
    </row>
    <row r="187" spans="1:27" s="24" customFormat="1" ht="18" customHeight="1">
      <c r="A187" s="71">
        <f t="shared" si="38"/>
        <v>163</v>
      </c>
      <c r="B187" s="296" t="s">
        <v>196</v>
      </c>
      <c r="C187" s="51" t="s">
        <v>66</v>
      </c>
      <c r="D187" s="111">
        <v>3185.6</v>
      </c>
      <c r="E187" s="280">
        <v>2786.3</v>
      </c>
      <c r="F187" s="54">
        <f t="shared" si="51"/>
        <v>1915441.94</v>
      </c>
      <c r="G187" s="54">
        <f t="shared" si="58"/>
        <v>1915441.94</v>
      </c>
      <c r="H187" s="54">
        <f t="shared" si="52"/>
        <v>687.45000179449437</v>
      </c>
      <c r="I187" s="54">
        <v>0</v>
      </c>
      <c r="J187" s="54">
        <v>0</v>
      </c>
      <c r="K187" s="53">
        <f t="shared" si="49"/>
        <v>0</v>
      </c>
      <c r="L187" s="54">
        <v>0</v>
      </c>
      <c r="M187" s="54"/>
      <c r="N187" s="54">
        <v>0</v>
      </c>
      <c r="O187" s="53">
        <f t="shared" si="53"/>
        <v>0</v>
      </c>
      <c r="P187" s="54">
        <v>0</v>
      </c>
      <c r="Q187" s="54"/>
      <c r="R187" s="54">
        <v>0</v>
      </c>
      <c r="S187" s="54">
        <v>0</v>
      </c>
      <c r="T187" s="54">
        <v>0</v>
      </c>
      <c r="U187" s="54">
        <v>0</v>
      </c>
      <c r="V187" s="111">
        <f t="shared" si="54"/>
        <v>1915441.94</v>
      </c>
      <c r="W187" s="71">
        <v>2017</v>
      </c>
      <c r="X187" s="71">
        <v>2017</v>
      </c>
      <c r="Y187" s="281" t="s">
        <v>155</v>
      </c>
      <c r="Z187" s="282">
        <v>5</v>
      </c>
      <c r="AA187" s="283" t="s">
        <v>169</v>
      </c>
    </row>
    <row r="188" spans="1:27" s="24" customFormat="1" ht="18" customHeight="1">
      <c r="A188" s="71">
        <f t="shared" si="38"/>
        <v>164</v>
      </c>
      <c r="B188" s="296" t="s">
        <v>447</v>
      </c>
      <c r="C188" s="51" t="s">
        <v>66</v>
      </c>
      <c r="D188" s="111">
        <v>2950.3</v>
      </c>
      <c r="E188" s="280">
        <v>2936</v>
      </c>
      <c r="F188" s="54">
        <f t="shared" si="51"/>
        <v>5274935.04</v>
      </c>
      <c r="G188" s="54">
        <v>0</v>
      </c>
      <c r="H188" s="54">
        <f t="shared" si="52"/>
        <v>0</v>
      </c>
      <c r="I188" s="311">
        <v>0</v>
      </c>
      <c r="J188" s="76">
        <f>ROUND(914.54*E188,2)</f>
        <v>2685089.44</v>
      </c>
      <c r="K188" s="53">
        <f t="shared" si="49"/>
        <v>914.54</v>
      </c>
      <c r="L188" s="36">
        <v>0</v>
      </c>
      <c r="M188" s="36"/>
      <c r="N188" s="53">
        <f>ROUND(882.1*E188,2)</f>
        <v>2589845.6</v>
      </c>
      <c r="O188" s="53">
        <f t="shared" si="53"/>
        <v>882.1</v>
      </c>
      <c r="P188" s="54">
        <v>0</v>
      </c>
      <c r="Q188" s="36"/>
      <c r="R188" s="54">
        <v>0</v>
      </c>
      <c r="S188" s="54">
        <v>0</v>
      </c>
      <c r="T188" s="54">
        <v>0</v>
      </c>
      <c r="U188" s="54">
        <v>0</v>
      </c>
      <c r="V188" s="111">
        <f t="shared" si="54"/>
        <v>5274935.04</v>
      </c>
      <c r="W188" s="71">
        <v>2017</v>
      </c>
      <c r="X188" s="71">
        <v>2017</v>
      </c>
      <c r="Y188" s="281" t="s">
        <v>155</v>
      </c>
      <c r="Z188" s="282">
        <v>5</v>
      </c>
      <c r="AA188" s="283" t="s">
        <v>169</v>
      </c>
    </row>
    <row r="189" spans="1:27" s="24" customFormat="1" ht="18" customHeight="1">
      <c r="A189" s="71">
        <f t="shared" si="38"/>
        <v>165</v>
      </c>
      <c r="B189" s="297" t="s">
        <v>446</v>
      </c>
      <c r="C189" s="40" t="s">
        <v>65</v>
      </c>
      <c r="D189" s="111">
        <v>3280</v>
      </c>
      <c r="E189" s="280">
        <v>3234.3</v>
      </c>
      <c r="F189" s="54">
        <f t="shared" si="51"/>
        <v>5159387.7</v>
      </c>
      <c r="G189" s="54">
        <v>0</v>
      </c>
      <c r="H189" s="54">
        <f t="shared" si="52"/>
        <v>0</v>
      </c>
      <c r="I189" s="311">
        <v>0</v>
      </c>
      <c r="J189" s="53">
        <f>ROUND(1595.21*E189,2)</f>
        <v>5159387.7</v>
      </c>
      <c r="K189" s="53">
        <f t="shared" si="49"/>
        <v>1595.2099990724423</v>
      </c>
      <c r="L189" s="54">
        <v>0</v>
      </c>
      <c r="M189" s="54"/>
      <c r="N189" s="54">
        <v>0</v>
      </c>
      <c r="O189" s="53">
        <f t="shared" si="53"/>
        <v>0</v>
      </c>
      <c r="P189" s="54">
        <v>0</v>
      </c>
      <c r="Q189" s="54"/>
      <c r="R189" s="54">
        <v>0</v>
      </c>
      <c r="S189" s="54">
        <v>0</v>
      </c>
      <c r="T189" s="54">
        <v>0</v>
      </c>
      <c r="U189" s="54">
        <v>0</v>
      </c>
      <c r="V189" s="111">
        <f t="shared" si="54"/>
        <v>5159387.7</v>
      </c>
      <c r="W189" s="71">
        <v>2017</v>
      </c>
      <c r="X189" s="71">
        <v>2017</v>
      </c>
      <c r="Y189" s="281" t="s">
        <v>155</v>
      </c>
      <c r="Z189" s="282">
        <v>5</v>
      </c>
      <c r="AA189" s="283" t="s">
        <v>170</v>
      </c>
    </row>
    <row r="190" spans="1:27" s="24" customFormat="1" ht="18" customHeight="1">
      <c r="A190" s="71">
        <f t="shared" si="38"/>
        <v>166</v>
      </c>
      <c r="B190" s="304" t="s">
        <v>131</v>
      </c>
      <c r="C190" s="40">
        <v>1984</v>
      </c>
      <c r="D190" s="67">
        <v>3410.2</v>
      </c>
      <c r="E190" s="280">
        <v>3394</v>
      </c>
      <c r="F190" s="54">
        <f t="shared" si="51"/>
        <v>3151872.04</v>
      </c>
      <c r="G190" s="54">
        <v>0</v>
      </c>
      <c r="H190" s="54">
        <f t="shared" si="52"/>
        <v>0</v>
      </c>
      <c r="I190" s="54">
        <v>0</v>
      </c>
      <c r="J190" s="41">
        <f t="shared" ref="J190:J191" si="59">ROUND(928.66*E190,2)</f>
        <v>3151872.04</v>
      </c>
      <c r="K190" s="53">
        <f t="shared" si="49"/>
        <v>928.66</v>
      </c>
      <c r="L190" s="36">
        <v>0</v>
      </c>
      <c r="M190" s="36"/>
      <c r="N190" s="54">
        <v>0</v>
      </c>
      <c r="O190" s="53">
        <f t="shared" si="53"/>
        <v>0</v>
      </c>
      <c r="P190" s="54">
        <v>0</v>
      </c>
      <c r="Q190" s="36"/>
      <c r="R190" s="54">
        <v>0</v>
      </c>
      <c r="S190" s="54">
        <v>0</v>
      </c>
      <c r="T190" s="54">
        <v>0</v>
      </c>
      <c r="U190" s="54">
        <v>0</v>
      </c>
      <c r="V190" s="111">
        <f t="shared" si="54"/>
        <v>3151872.04</v>
      </c>
      <c r="W190" s="71">
        <v>2017</v>
      </c>
      <c r="X190" s="71">
        <v>2017</v>
      </c>
      <c r="Y190" s="281" t="s">
        <v>154</v>
      </c>
      <c r="Z190" s="282">
        <v>5</v>
      </c>
      <c r="AA190" s="283" t="s">
        <v>169</v>
      </c>
    </row>
    <row r="191" spans="1:27" s="24" customFormat="1" ht="18" customHeight="1">
      <c r="A191" s="71">
        <f t="shared" si="38"/>
        <v>167</v>
      </c>
      <c r="B191" s="304" t="s">
        <v>132</v>
      </c>
      <c r="C191" s="40">
        <v>1985</v>
      </c>
      <c r="D191" s="67">
        <v>3418.1</v>
      </c>
      <c r="E191" s="280">
        <v>3372.6</v>
      </c>
      <c r="F191" s="54">
        <f t="shared" si="51"/>
        <v>3131998.72</v>
      </c>
      <c r="G191" s="54">
        <v>0</v>
      </c>
      <c r="H191" s="54">
        <f t="shared" si="52"/>
        <v>0</v>
      </c>
      <c r="I191" s="311">
        <v>0</v>
      </c>
      <c r="J191" s="41">
        <f t="shared" si="59"/>
        <v>3131998.72</v>
      </c>
      <c r="K191" s="53">
        <f t="shared" si="49"/>
        <v>928.66000118602869</v>
      </c>
      <c r="L191" s="54">
        <v>0</v>
      </c>
      <c r="M191" s="54"/>
      <c r="N191" s="54">
        <v>0</v>
      </c>
      <c r="O191" s="53">
        <f t="shared" si="53"/>
        <v>0</v>
      </c>
      <c r="P191" s="54">
        <v>0</v>
      </c>
      <c r="Q191" s="54"/>
      <c r="R191" s="54">
        <v>0</v>
      </c>
      <c r="S191" s="54">
        <v>0</v>
      </c>
      <c r="T191" s="54">
        <v>0</v>
      </c>
      <c r="U191" s="54">
        <v>0</v>
      </c>
      <c r="V191" s="111">
        <f t="shared" si="54"/>
        <v>3131998.72</v>
      </c>
      <c r="W191" s="71">
        <v>2017</v>
      </c>
      <c r="X191" s="71">
        <v>2017</v>
      </c>
      <c r="Y191" s="281" t="s">
        <v>154</v>
      </c>
      <c r="Z191" s="282">
        <v>5</v>
      </c>
      <c r="AA191" s="283" t="s">
        <v>169</v>
      </c>
    </row>
    <row r="192" spans="1:27" s="24" customFormat="1" ht="18" customHeight="1">
      <c r="A192" s="71">
        <f t="shared" si="38"/>
        <v>168</v>
      </c>
      <c r="B192" s="317" t="s">
        <v>268</v>
      </c>
      <c r="C192" s="51" t="s">
        <v>482</v>
      </c>
      <c r="D192" s="318">
        <v>4737.3</v>
      </c>
      <c r="E192" s="35">
        <v>4068.1</v>
      </c>
      <c r="F192" s="61">
        <f t="shared" si="51"/>
        <v>4021580.94</v>
      </c>
      <c r="G192" s="54">
        <v>0</v>
      </c>
      <c r="H192" s="54"/>
      <c r="I192" s="319">
        <f>4021580.94</f>
        <v>4021580.94</v>
      </c>
      <c r="J192" s="54">
        <v>0</v>
      </c>
      <c r="K192" s="53">
        <f t="shared" si="49"/>
        <v>0</v>
      </c>
      <c r="L192" s="53">
        <v>0</v>
      </c>
      <c r="M192" s="53"/>
      <c r="N192" s="54">
        <v>0</v>
      </c>
      <c r="O192" s="53">
        <f t="shared" si="53"/>
        <v>0</v>
      </c>
      <c r="P192" s="54">
        <v>0</v>
      </c>
      <c r="Q192" s="53"/>
      <c r="R192" s="54">
        <v>0</v>
      </c>
      <c r="S192" s="54">
        <v>0</v>
      </c>
      <c r="T192" s="54">
        <v>0</v>
      </c>
      <c r="U192" s="54">
        <v>0</v>
      </c>
      <c r="V192" s="111">
        <f t="shared" si="54"/>
        <v>4021580.94</v>
      </c>
      <c r="W192" s="71">
        <v>2017</v>
      </c>
      <c r="X192" s="71">
        <v>2017</v>
      </c>
      <c r="Y192" s="281" t="str">
        <f>[2]Реестр!$AV$3245</f>
        <v>панельные</v>
      </c>
      <c r="Z192" s="282">
        <f>[2]Реестр!$AI$3245</f>
        <v>9</v>
      </c>
      <c r="AA192" s="283" t="str">
        <f>[2]Реестр!$AX$3245</f>
        <v>плоская</v>
      </c>
    </row>
    <row r="193" spans="1:29" s="24" customFormat="1" ht="18" customHeight="1">
      <c r="A193" s="71">
        <f t="shared" si="38"/>
        <v>169</v>
      </c>
      <c r="B193" s="297" t="s">
        <v>123</v>
      </c>
      <c r="C193" s="51" t="s">
        <v>477</v>
      </c>
      <c r="D193" s="320">
        <v>4073.6</v>
      </c>
      <c r="E193" s="280">
        <v>3589.6</v>
      </c>
      <c r="F193" s="54">
        <f>G193+I193+J193+L193+N193+P193+R193</f>
        <v>7493613.0600000005</v>
      </c>
      <c r="G193" s="54">
        <f>ROUND((151+215+321.45+518.04)*E193,2)</f>
        <v>4327226.9000000004</v>
      </c>
      <c r="H193" s="54">
        <f>G193/E193</f>
        <v>1205.4899988856698</v>
      </c>
      <c r="I193" s="54">
        <v>0</v>
      </c>
      <c r="J193" s="54">
        <v>0</v>
      </c>
      <c r="K193" s="53">
        <f t="shared" si="49"/>
        <v>0</v>
      </c>
      <c r="L193" s="53">
        <v>0</v>
      </c>
      <c r="M193" s="53"/>
      <c r="N193" s="53">
        <f>ROUND(882.1*E193,2)</f>
        <v>3166386.16</v>
      </c>
      <c r="O193" s="53">
        <f>N193/E193</f>
        <v>882.1</v>
      </c>
      <c r="P193" s="54">
        <v>0</v>
      </c>
      <c r="Q193" s="53"/>
      <c r="R193" s="54">
        <v>0</v>
      </c>
      <c r="S193" s="54">
        <v>0</v>
      </c>
      <c r="T193" s="54">
        <v>0</v>
      </c>
      <c r="U193" s="54">
        <v>0</v>
      </c>
      <c r="V193" s="111">
        <f t="shared" si="54"/>
        <v>7493613.0600000005</v>
      </c>
      <c r="W193" s="71">
        <v>2017</v>
      </c>
      <c r="X193" s="71">
        <v>2017</v>
      </c>
      <c r="Y193" s="281" t="s">
        <v>155</v>
      </c>
      <c r="Z193" s="282">
        <v>5</v>
      </c>
      <c r="AA193" s="283" t="s">
        <v>169</v>
      </c>
    </row>
    <row r="194" spans="1:29" ht="18" customHeight="1">
      <c r="A194" s="352" t="s">
        <v>280</v>
      </c>
      <c r="B194" s="353"/>
      <c r="C194" s="51"/>
      <c r="D194" s="113">
        <f>SUM(D66:D193)</f>
        <v>445712.49999999994</v>
      </c>
      <c r="E194" s="113">
        <f>SUM(E66:E193)</f>
        <v>403419.30999999994</v>
      </c>
      <c r="F194" s="56">
        <f>SUM(F66:F193)</f>
        <v>390888964.51000017</v>
      </c>
      <c r="G194" s="56">
        <f>SUM(G66:G193)</f>
        <v>118153466.05</v>
      </c>
      <c r="H194" s="56"/>
      <c r="I194" s="56">
        <f>SUM(I66:I193)</f>
        <v>113094903.47999999</v>
      </c>
      <c r="J194" s="56">
        <f>SUM(J66:J193)</f>
        <v>123583661.06999999</v>
      </c>
      <c r="K194" s="56"/>
      <c r="L194" s="56">
        <f>SUM(L66:L193)</f>
        <v>0</v>
      </c>
      <c r="M194" s="56">
        <f>SUM(M66:M193)</f>
        <v>0</v>
      </c>
      <c r="N194" s="56">
        <f>SUM(N66:N193)</f>
        <v>35919673.770000003</v>
      </c>
      <c r="O194" s="56"/>
      <c r="P194" s="56">
        <f>SUM(P66:P193)</f>
        <v>137260.14000000001</v>
      </c>
      <c r="Q194" s="56"/>
      <c r="R194" s="56">
        <f>SUM(R66:R193)</f>
        <v>0</v>
      </c>
      <c r="S194" s="56">
        <f>SUM(S66:S193)</f>
        <v>0</v>
      </c>
      <c r="T194" s="56">
        <f>SUM(T66:T193)</f>
        <v>0</v>
      </c>
      <c r="U194" s="56">
        <f>SUM(U66:U193)</f>
        <v>0</v>
      </c>
      <c r="V194" s="113">
        <f>SUM(V66:V193)</f>
        <v>390888964.51000017</v>
      </c>
      <c r="W194" s="22" t="s">
        <v>117</v>
      </c>
      <c r="X194" s="22" t="s">
        <v>117</v>
      </c>
    </row>
    <row r="195" spans="1:29" ht="18" customHeight="1">
      <c r="A195" s="354" t="s">
        <v>53</v>
      </c>
      <c r="B195" s="355"/>
      <c r="C195" s="355"/>
      <c r="D195" s="355"/>
      <c r="E195" s="355"/>
      <c r="F195" s="355"/>
      <c r="G195" s="355"/>
      <c r="H195" s="355"/>
      <c r="I195" s="355"/>
      <c r="J195" s="355"/>
      <c r="K195" s="355"/>
      <c r="L195" s="355"/>
      <c r="M195" s="355"/>
      <c r="N195" s="355"/>
      <c r="O195" s="355"/>
      <c r="P195" s="355"/>
      <c r="Q195" s="355"/>
      <c r="R195" s="355"/>
      <c r="S195" s="355"/>
      <c r="T195" s="355"/>
      <c r="U195" s="355"/>
      <c r="V195" s="360"/>
      <c r="W195" s="38"/>
      <c r="X195" s="38"/>
    </row>
    <row r="196" spans="1:29" s="24" customFormat="1" ht="18" customHeight="1">
      <c r="A196" s="51">
        <f>A193+1</f>
        <v>170</v>
      </c>
      <c r="B196" s="132" t="s">
        <v>269</v>
      </c>
      <c r="C196" s="133">
        <v>1954</v>
      </c>
      <c r="D196" s="137">
        <v>1865.5</v>
      </c>
      <c r="E196" s="138">
        <v>838</v>
      </c>
      <c r="F196" s="54">
        <f t="shared" ref="F196:F203" si="60">G196+I196+J196+L196+N196+P196+R196</f>
        <v>2969453</v>
      </c>
      <c r="G196" s="53">
        <f>ROUND((493.96+518.04+151+215+321.45)*E196,2)</f>
        <v>1424139.1</v>
      </c>
      <c r="H196" s="54">
        <f t="shared" ref="H196:H203" si="61">G196/E196</f>
        <v>1699.45</v>
      </c>
      <c r="I196" s="53">
        <v>0</v>
      </c>
      <c r="J196" s="53">
        <f>ROUND(1595.21*E196,2)</f>
        <v>1336785.98</v>
      </c>
      <c r="K196" s="53">
        <f t="shared" ref="K196:K202" si="62">J196/E196</f>
        <v>1595.21</v>
      </c>
      <c r="L196" s="53">
        <f>ROUND(248.84*E196,2)</f>
        <v>208527.92</v>
      </c>
      <c r="M196" s="53">
        <f>L196/E196</f>
        <v>248.84</v>
      </c>
      <c r="N196" s="53">
        <v>0</v>
      </c>
      <c r="O196" s="53">
        <f>N196/E196</f>
        <v>0</v>
      </c>
      <c r="P196" s="53">
        <v>0</v>
      </c>
      <c r="Q196" s="53"/>
      <c r="R196" s="53">
        <v>0</v>
      </c>
      <c r="S196" s="53">
        <v>0</v>
      </c>
      <c r="T196" s="53">
        <v>0</v>
      </c>
      <c r="U196" s="53">
        <v>0</v>
      </c>
      <c r="V196" s="111">
        <f>F196</f>
        <v>2969453</v>
      </c>
      <c r="W196" s="71">
        <v>2017</v>
      </c>
      <c r="X196" s="71">
        <v>2017</v>
      </c>
      <c r="Y196" s="141" t="s">
        <v>155</v>
      </c>
      <c r="Z196" s="135">
        <v>2</v>
      </c>
      <c r="AA196" s="142" t="s">
        <v>170</v>
      </c>
    </row>
    <row r="197" spans="1:29" s="24" customFormat="1" ht="18" customHeight="1">
      <c r="A197" s="51">
        <f t="shared" ref="A197:A203" si="63">A196+1</f>
        <v>171</v>
      </c>
      <c r="B197" s="134" t="s">
        <v>270</v>
      </c>
      <c r="C197" s="133">
        <v>1987</v>
      </c>
      <c r="D197" s="137">
        <v>8669.4</v>
      </c>
      <c r="E197" s="138">
        <v>7684.9</v>
      </c>
      <c r="F197" s="54">
        <f t="shared" si="60"/>
        <v>8479057.5600000005</v>
      </c>
      <c r="G197" s="53">
        <f>ROUND(493.96*E197,2)</f>
        <v>3796033.2</v>
      </c>
      <c r="H197" s="54">
        <f t="shared" si="61"/>
        <v>493.95999947949883</v>
      </c>
      <c r="I197" s="53">
        <v>0</v>
      </c>
      <c r="J197" s="53">
        <f>ROUND(609.38*E197,2)</f>
        <v>4683024.3600000003</v>
      </c>
      <c r="K197" s="53">
        <f t="shared" si="62"/>
        <v>609.37999973974945</v>
      </c>
      <c r="L197" s="53">
        <v>0</v>
      </c>
      <c r="M197" s="53"/>
      <c r="N197" s="53">
        <v>0</v>
      </c>
      <c r="O197" s="53">
        <f>N197/E197</f>
        <v>0</v>
      </c>
      <c r="P197" s="53">
        <v>0</v>
      </c>
      <c r="Q197" s="53"/>
      <c r="R197" s="53">
        <v>0</v>
      </c>
      <c r="S197" s="53">
        <v>0</v>
      </c>
      <c r="T197" s="53">
        <v>0</v>
      </c>
      <c r="U197" s="53">
        <v>0</v>
      </c>
      <c r="V197" s="111">
        <f t="shared" ref="V197:V203" si="64">F197</f>
        <v>8479057.5600000005</v>
      </c>
      <c r="W197" s="71">
        <v>2017</v>
      </c>
      <c r="X197" s="71">
        <v>2017</v>
      </c>
      <c r="Y197" s="141" t="s">
        <v>154</v>
      </c>
      <c r="Z197" s="135">
        <v>9</v>
      </c>
      <c r="AA197" s="142"/>
    </row>
    <row r="198" spans="1:29" s="24" customFormat="1" ht="18" customHeight="1">
      <c r="A198" s="51">
        <f t="shared" si="63"/>
        <v>172</v>
      </c>
      <c r="B198" s="134" t="s">
        <v>271</v>
      </c>
      <c r="C198" s="133">
        <v>1956</v>
      </c>
      <c r="D198" s="137">
        <v>1637.1</v>
      </c>
      <c r="E198" s="138">
        <v>860.6</v>
      </c>
      <c r="F198" s="54">
        <f t="shared" si="60"/>
        <v>2389559.1799999997</v>
      </c>
      <c r="G198" s="53">
        <f>ROUND((493.96+151+215+321.45)*860.6,2)</f>
        <v>1016721.45</v>
      </c>
      <c r="H198" s="54">
        <f t="shared" si="61"/>
        <v>1181.41000464792</v>
      </c>
      <c r="I198" s="53">
        <v>0</v>
      </c>
      <c r="J198" s="53">
        <f>ROUND(1595.21*E198,2)</f>
        <v>1372837.73</v>
      </c>
      <c r="K198" s="53">
        <f t="shared" si="62"/>
        <v>1595.21000464792</v>
      </c>
      <c r="L198" s="53">
        <v>0</v>
      </c>
      <c r="M198" s="53"/>
      <c r="N198" s="53">
        <v>0</v>
      </c>
      <c r="O198" s="53">
        <f>N198/E198</f>
        <v>0</v>
      </c>
      <c r="P198" s="53">
        <v>0</v>
      </c>
      <c r="Q198" s="53"/>
      <c r="R198" s="53">
        <v>0</v>
      </c>
      <c r="S198" s="53">
        <v>0</v>
      </c>
      <c r="T198" s="53">
        <v>0</v>
      </c>
      <c r="U198" s="53">
        <v>0</v>
      </c>
      <c r="V198" s="111">
        <f t="shared" si="64"/>
        <v>2389559.1799999997</v>
      </c>
      <c r="W198" s="71">
        <v>2017</v>
      </c>
      <c r="X198" s="71">
        <v>2017</v>
      </c>
      <c r="Y198" s="141" t="s">
        <v>155</v>
      </c>
      <c r="Z198" s="135">
        <v>2</v>
      </c>
      <c r="AA198" s="142" t="s">
        <v>170</v>
      </c>
    </row>
    <row r="199" spans="1:29" s="24" customFormat="1" ht="18" customHeight="1">
      <c r="A199" s="51">
        <f t="shared" si="63"/>
        <v>173</v>
      </c>
      <c r="B199" s="134" t="s">
        <v>272</v>
      </c>
      <c r="C199" s="133">
        <v>1952</v>
      </c>
      <c r="D199" s="137">
        <v>565.79999999999995</v>
      </c>
      <c r="E199" s="138">
        <v>519.70000000000005</v>
      </c>
      <c r="F199" s="54">
        <f t="shared" si="60"/>
        <v>829030.64</v>
      </c>
      <c r="G199" s="53">
        <v>0</v>
      </c>
      <c r="H199" s="54">
        <f t="shared" si="61"/>
        <v>0</v>
      </c>
      <c r="I199" s="53">
        <v>0</v>
      </c>
      <c r="J199" s="53">
        <f>ROUND(1595.21*E199,2)</f>
        <v>829030.64</v>
      </c>
      <c r="K199" s="53">
        <f t="shared" si="62"/>
        <v>1595.2100057725611</v>
      </c>
      <c r="L199" s="53">
        <v>0</v>
      </c>
      <c r="M199" s="53">
        <f>L199/E199</f>
        <v>0</v>
      </c>
      <c r="N199" s="53">
        <v>0</v>
      </c>
      <c r="O199" s="53">
        <f>N199/E199</f>
        <v>0</v>
      </c>
      <c r="P199" s="53">
        <v>0</v>
      </c>
      <c r="Q199" s="54">
        <f>P199/E199</f>
        <v>0</v>
      </c>
      <c r="R199" s="53">
        <v>0</v>
      </c>
      <c r="S199" s="53">
        <v>0</v>
      </c>
      <c r="T199" s="53">
        <v>0</v>
      </c>
      <c r="U199" s="53">
        <v>0</v>
      </c>
      <c r="V199" s="111">
        <f t="shared" si="64"/>
        <v>829030.64</v>
      </c>
      <c r="W199" s="71">
        <v>2017</v>
      </c>
      <c r="X199" s="71">
        <v>2017</v>
      </c>
      <c r="Y199" s="141" t="s">
        <v>155</v>
      </c>
      <c r="Z199" s="135">
        <v>2</v>
      </c>
      <c r="AA199" s="142" t="s">
        <v>170</v>
      </c>
    </row>
    <row r="200" spans="1:29" s="24" customFormat="1" ht="18" customHeight="1">
      <c r="A200" s="51">
        <f t="shared" si="63"/>
        <v>174</v>
      </c>
      <c r="B200" s="134" t="s">
        <v>273</v>
      </c>
      <c r="C200" s="133">
        <v>1988</v>
      </c>
      <c r="D200" s="137">
        <f>3408.6+529.5+1029</f>
        <v>4967.1000000000004</v>
      </c>
      <c r="E200" s="138">
        <v>3408.6</v>
      </c>
      <c r="F200" s="54">
        <f t="shared" si="60"/>
        <v>3656882.42</v>
      </c>
      <c r="G200" s="53">
        <f>ROUND((205.56+145.42+495.29)*E200,2)</f>
        <v>2884595.92</v>
      </c>
      <c r="H200" s="54">
        <f t="shared" si="61"/>
        <v>846.2699994132488</v>
      </c>
      <c r="I200" s="53">
        <v>0</v>
      </c>
      <c r="J200" s="53">
        <v>0</v>
      </c>
      <c r="K200" s="53">
        <f t="shared" si="62"/>
        <v>0</v>
      </c>
      <c r="L200" s="53">
        <v>0</v>
      </c>
      <c r="M200" s="53">
        <f>L200/E200</f>
        <v>0</v>
      </c>
      <c r="N200" s="53">
        <f>ROUND(226.57*E200,2)</f>
        <v>772286.5</v>
      </c>
      <c r="O200" s="53">
        <f>N200/E200</f>
        <v>226.56999941324884</v>
      </c>
      <c r="P200" s="53">
        <v>0</v>
      </c>
      <c r="Q200" s="54">
        <f>P200/E200</f>
        <v>0</v>
      </c>
      <c r="R200" s="53">
        <v>0</v>
      </c>
      <c r="S200" s="53">
        <v>0</v>
      </c>
      <c r="T200" s="53">
        <v>0</v>
      </c>
      <c r="U200" s="53">
        <v>0</v>
      </c>
      <c r="V200" s="111">
        <f t="shared" si="64"/>
        <v>3656882.42</v>
      </c>
      <c r="W200" s="71">
        <v>2017</v>
      </c>
      <c r="X200" s="71">
        <v>2017</v>
      </c>
      <c r="Y200" s="141" t="s">
        <v>154</v>
      </c>
      <c r="Z200" s="135">
        <v>5</v>
      </c>
      <c r="AA200" s="143"/>
    </row>
    <row r="201" spans="1:29" s="24" customFormat="1" ht="18" customHeight="1">
      <c r="A201" s="51">
        <f t="shared" si="63"/>
        <v>175</v>
      </c>
      <c r="B201" s="132" t="s">
        <v>274</v>
      </c>
      <c r="C201" s="133">
        <v>1954</v>
      </c>
      <c r="D201" s="137">
        <f>656.2+71.2+493.8</f>
        <v>1221.2</v>
      </c>
      <c r="E201" s="138">
        <v>615.6</v>
      </c>
      <c r="F201" s="54">
        <f t="shared" si="60"/>
        <v>1709287.28</v>
      </c>
      <c r="G201" s="53">
        <f>ROUND((493.96+151+215+321.45)*E201,2)</f>
        <v>727276</v>
      </c>
      <c r="H201" s="53">
        <f t="shared" si="61"/>
        <v>1181.4100064977258</v>
      </c>
      <c r="I201" s="53">
        <v>0</v>
      </c>
      <c r="J201" s="53">
        <f>ROUND(1595.21*E201,2)</f>
        <v>982011.28</v>
      </c>
      <c r="K201" s="53">
        <f t="shared" si="62"/>
        <v>1595.2100064977258</v>
      </c>
      <c r="L201" s="53">
        <v>0</v>
      </c>
      <c r="M201" s="53"/>
      <c r="N201" s="53">
        <v>0</v>
      </c>
      <c r="O201" s="39"/>
      <c r="P201" s="53">
        <v>0</v>
      </c>
      <c r="Q201" s="53"/>
      <c r="R201" s="53">
        <v>0</v>
      </c>
      <c r="S201" s="53">
        <v>0</v>
      </c>
      <c r="T201" s="53">
        <v>0</v>
      </c>
      <c r="U201" s="53">
        <v>0</v>
      </c>
      <c r="V201" s="111">
        <f t="shared" si="64"/>
        <v>1709287.28</v>
      </c>
      <c r="W201" s="71">
        <v>2017</v>
      </c>
      <c r="X201" s="71">
        <v>2017</v>
      </c>
      <c r="Y201" s="141" t="s">
        <v>155</v>
      </c>
      <c r="Z201" s="135">
        <v>2</v>
      </c>
      <c r="AA201" s="143"/>
    </row>
    <row r="202" spans="1:29" s="24" customFormat="1" ht="18" customHeight="1">
      <c r="A202" s="51">
        <f t="shared" si="63"/>
        <v>176</v>
      </c>
      <c r="B202" s="376" t="s">
        <v>492</v>
      </c>
      <c r="C202" s="377">
        <v>1959</v>
      </c>
      <c r="D202" s="378">
        <v>1365</v>
      </c>
      <c r="E202" s="379">
        <v>1110.3</v>
      </c>
      <c r="F202" s="54">
        <f t="shared" si="60"/>
        <v>3109617.21</v>
      </c>
      <c r="G202" s="380">
        <v>1338455.55</v>
      </c>
      <c r="H202" s="53">
        <f>G202/E202</f>
        <v>1205.4900027019726</v>
      </c>
      <c r="I202" s="53">
        <v>0</v>
      </c>
      <c r="J202" s="381">
        <v>1771161.66</v>
      </c>
      <c r="K202" s="53">
        <f t="shared" si="62"/>
        <v>1595.2099972980275</v>
      </c>
      <c r="L202" s="53">
        <v>0</v>
      </c>
      <c r="M202" s="53"/>
      <c r="N202" s="53">
        <v>0</v>
      </c>
      <c r="O202" s="39"/>
      <c r="P202" s="53">
        <v>0</v>
      </c>
      <c r="Q202" s="53"/>
      <c r="R202" s="53">
        <v>0</v>
      </c>
      <c r="S202" s="53">
        <v>0</v>
      </c>
      <c r="T202" s="53">
        <v>0</v>
      </c>
      <c r="U202" s="53">
        <v>0</v>
      </c>
      <c r="V202" s="54">
        <f t="shared" si="64"/>
        <v>3109617.21</v>
      </c>
      <c r="W202" s="71">
        <v>2017</v>
      </c>
      <c r="X202" s="71">
        <v>2017</v>
      </c>
      <c r="Y202" s="23"/>
      <c r="AC202" s="382"/>
    </row>
    <row r="203" spans="1:29" s="24" customFormat="1" ht="18" customHeight="1">
      <c r="A203" s="51">
        <f t="shared" si="63"/>
        <v>177</v>
      </c>
      <c r="B203" s="136" t="s">
        <v>275</v>
      </c>
      <c r="C203" s="133">
        <v>1989</v>
      </c>
      <c r="D203" s="137">
        <v>17676.8</v>
      </c>
      <c r="E203" s="139">
        <v>15344.5</v>
      </c>
      <c r="F203" s="54">
        <f t="shared" si="60"/>
        <v>8043161.8799999999</v>
      </c>
      <c r="G203" s="53">
        <v>0</v>
      </c>
      <c r="H203" s="53">
        <f t="shared" si="61"/>
        <v>0</v>
      </c>
      <c r="I203" s="54">
        <f>4021580.94*2</f>
        <v>8043161.8799999999</v>
      </c>
      <c r="J203" s="53">
        <v>0</v>
      </c>
      <c r="K203" s="39"/>
      <c r="L203" s="53">
        <v>0</v>
      </c>
      <c r="M203" s="53"/>
      <c r="N203" s="53">
        <v>0</v>
      </c>
      <c r="O203" s="39"/>
      <c r="P203" s="53">
        <v>0</v>
      </c>
      <c r="Q203" s="53"/>
      <c r="R203" s="53">
        <v>0</v>
      </c>
      <c r="S203" s="53">
        <v>0</v>
      </c>
      <c r="T203" s="53">
        <v>0</v>
      </c>
      <c r="U203" s="53">
        <v>0</v>
      </c>
      <c r="V203" s="111">
        <f t="shared" si="64"/>
        <v>8043161.8799999999</v>
      </c>
      <c r="W203" s="71">
        <v>2017</v>
      </c>
      <c r="X203" s="71">
        <v>2017</v>
      </c>
      <c r="Y203" s="141" t="s">
        <v>154</v>
      </c>
      <c r="Z203" s="135">
        <v>9</v>
      </c>
      <c r="AA203" s="143"/>
    </row>
    <row r="204" spans="1:29" ht="18" customHeight="1">
      <c r="A204" s="352" t="s">
        <v>280</v>
      </c>
      <c r="B204" s="353"/>
      <c r="C204" s="51"/>
      <c r="D204" s="70">
        <f>SUM(D196:D203)</f>
        <v>37967.9</v>
      </c>
      <c r="E204" s="70">
        <f>SUM(E196:E203)</f>
        <v>30382.2</v>
      </c>
      <c r="F204" s="56">
        <f>SUM(F196:F203)</f>
        <v>31186049.170000002</v>
      </c>
      <c r="G204" s="50">
        <f>SUM(G196:G203)</f>
        <v>11187221.220000003</v>
      </c>
      <c r="H204" s="50"/>
      <c r="I204" s="50">
        <f>SUM(I196:I203)</f>
        <v>8043161.8799999999</v>
      </c>
      <c r="J204" s="50">
        <f>SUM(J196:J203)</f>
        <v>10974851.65</v>
      </c>
      <c r="K204" s="50"/>
      <c r="L204" s="50">
        <f>SUM(L196:L203)</f>
        <v>208527.92</v>
      </c>
      <c r="M204" s="50"/>
      <c r="N204" s="50">
        <f>SUM(N196:N203)</f>
        <v>772286.5</v>
      </c>
      <c r="O204" s="50"/>
      <c r="P204" s="50">
        <f>SUM(P196:P203)</f>
        <v>0</v>
      </c>
      <c r="Q204" s="50"/>
      <c r="R204" s="50">
        <f>SUM(R196:R203)</f>
        <v>0</v>
      </c>
      <c r="S204" s="50">
        <f>SUM(S196:S203)</f>
        <v>0</v>
      </c>
      <c r="T204" s="50">
        <f>SUM(T196:T203)</f>
        <v>0</v>
      </c>
      <c r="U204" s="50">
        <f>SUM(U196:U203)</f>
        <v>0</v>
      </c>
      <c r="V204" s="113">
        <f>SUM(V196:V203)</f>
        <v>31186049.170000002</v>
      </c>
      <c r="W204" s="22" t="s">
        <v>117</v>
      </c>
      <c r="X204" s="22" t="s">
        <v>117</v>
      </c>
    </row>
    <row r="205" spans="1:29" ht="18" customHeight="1">
      <c r="A205" s="354" t="s">
        <v>54</v>
      </c>
      <c r="B205" s="355"/>
      <c r="C205" s="355"/>
      <c r="D205" s="355"/>
      <c r="E205" s="355"/>
      <c r="F205" s="355"/>
      <c r="G205" s="355"/>
      <c r="H205" s="355"/>
      <c r="I205" s="355"/>
      <c r="J205" s="355"/>
      <c r="K205" s="355"/>
      <c r="L205" s="355"/>
      <c r="M205" s="355"/>
      <c r="N205" s="355"/>
      <c r="O205" s="355"/>
      <c r="P205" s="355"/>
      <c r="Q205" s="355"/>
      <c r="R205" s="355"/>
      <c r="S205" s="355"/>
      <c r="T205" s="355"/>
      <c r="U205" s="355"/>
      <c r="V205" s="360"/>
      <c r="W205" s="38"/>
      <c r="X205" s="38"/>
    </row>
    <row r="206" spans="1:29" s="24" customFormat="1" ht="18" customHeight="1">
      <c r="A206" s="51">
        <f>A203+1</f>
        <v>178</v>
      </c>
      <c r="B206" s="151" t="s">
        <v>290</v>
      </c>
      <c r="C206" s="51">
        <v>1970</v>
      </c>
      <c r="D206" s="34">
        <v>4533.8</v>
      </c>
      <c r="E206" s="34">
        <v>3342.3</v>
      </c>
      <c r="F206" s="54">
        <f>G206+I206+J206+L206+N206+P206+R206</f>
        <v>3056667.04</v>
      </c>
      <c r="G206" s="53">
        <v>0</v>
      </c>
      <c r="H206" s="53">
        <f t="shared" ref="H206:H216" si="65">G206/E206</f>
        <v>0</v>
      </c>
      <c r="I206" s="53">
        <v>0</v>
      </c>
      <c r="J206" s="53">
        <f>ROUND(914.54*E206,2)</f>
        <v>3056667.04</v>
      </c>
      <c r="K206" s="53">
        <f t="shared" ref="K206:K217" si="66">J206/E206</f>
        <v>914.53999940160963</v>
      </c>
      <c r="L206" s="53">
        <v>0</v>
      </c>
      <c r="M206" s="53"/>
      <c r="N206" s="53">
        <v>0</v>
      </c>
      <c r="O206" s="53"/>
      <c r="P206" s="53">
        <v>0</v>
      </c>
      <c r="Q206" s="53"/>
      <c r="R206" s="53">
        <v>0</v>
      </c>
      <c r="S206" s="53">
        <v>0</v>
      </c>
      <c r="T206" s="53">
        <v>0</v>
      </c>
      <c r="U206" s="53">
        <v>0</v>
      </c>
      <c r="V206" s="111">
        <f>F206</f>
        <v>3056667.04</v>
      </c>
      <c r="W206" s="71">
        <v>2017</v>
      </c>
      <c r="X206" s="71">
        <v>2017</v>
      </c>
      <c r="Y206" s="52" t="s">
        <v>155</v>
      </c>
      <c r="Z206" s="52">
        <v>5</v>
      </c>
    </row>
    <row r="207" spans="1:29" s="24" customFormat="1" ht="18" customHeight="1">
      <c r="A207" s="51">
        <f>A206+1</f>
        <v>179</v>
      </c>
      <c r="B207" s="151" t="s">
        <v>291</v>
      </c>
      <c r="C207" s="51">
        <v>1973</v>
      </c>
      <c r="D207" s="34">
        <v>4024.7</v>
      </c>
      <c r="E207" s="34">
        <v>2929.9</v>
      </c>
      <c r="F207" s="54">
        <f>G207+I207+J207+L207+N207+P207+R207</f>
        <v>729076.32</v>
      </c>
      <c r="G207" s="53">
        <v>0</v>
      </c>
      <c r="H207" s="53">
        <f t="shared" si="65"/>
        <v>0</v>
      </c>
      <c r="I207" s="53">
        <v>0</v>
      </c>
      <c r="J207" s="53">
        <v>0</v>
      </c>
      <c r="K207" s="53">
        <f t="shared" si="66"/>
        <v>0</v>
      </c>
      <c r="L207" s="53">
        <v>0</v>
      </c>
      <c r="M207" s="53"/>
      <c r="N207" s="53">
        <v>0</v>
      </c>
      <c r="O207" s="53">
        <f>N207/E207</f>
        <v>0</v>
      </c>
      <c r="P207" s="53">
        <f>ROUND(248.84*E207,2)</f>
        <v>729076.32</v>
      </c>
      <c r="Q207" s="53">
        <f>P207/E207</f>
        <v>248.84000136523429</v>
      </c>
      <c r="R207" s="53">
        <v>0</v>
      </c>
      <c r="S207" s="53">
        <v>0</v>
      </c>
      <c r="T207" s="53">
        <v>0</v>
      </c>
      <c r="U207" s="53">
        <v>0</v>
      </c>
      <c r="V207" s="111">
        <f>F207</f>
        <v>729076.32</v>
      </c>
      <c r="W207" s="71">
        <v>2017</v>
      </c>
      <c r="X207" s="71">
        <v>2017</v>
      </c>
      <c r="Y207" s="52" t="s">
        <v>155</v>
      </c>
      <c r="Z207" s="52">
        <v>5</v>
      </c>
    </row>
    <row r="208" spans="1:29" s="24" customFormat="1" ht="18" customHeight="1">
      <c r="A208" s="51">
        <f t="shared" ref="A208:A217" si="67">A207+1</f>
        <v>180</v>
      </c>
      <c r="B208" s="151" t="s">
        <v>292</v>
      </c>
      <c r="C208" s="51">
        <v>1985</v>
      </c>
      <c r="D208" s="157">
        <v>2865.8</v>
      </c>
      <c r="E208" s="158">
        <v>2236.6</v>
      </c>
      <c r="F208" s="54">
        <f>G208+I208+J208+L208+N208+P208+R208</f>
        <v>4021580.94</v>
      </c>
      <c r="G208" s="53">
        <v>0</v>
      </c>
      <c r="H208" s="53">
        <f t="shared" si="65"/>
        <v>0</v>
      </c>
      <c r="I208" s="53">
        <v>4021580.94</v>
      </c>
      <c r="J208" s="53">
        <v>0</v>
      </c>
      <c r="K208" s="53">
        <f t="shared" si="66"/>
        <v>0</v>
      </c>
      <c r="L208" s="53">
        <v>0</v>
      </c>
      <c r="M208" s="53"/>
      <c r="N208" s="53">
        <v>0</v>
      </c>
      <c r="O208" s="53"/>
      <c r="P208" s="53">
        <v>0</v>
      </c>
      <c r="Q208" s="53"/>
      <c r="R208" s="53">
        <v>0</v>
      </c>
      <c r="S208" s="53">
        <v>0</v>
      </c>
      <c r="T208" s="53">
        <v>0</v>
      </c>
      <c r="U208" s="53">
        <v>0</v>
      </c>
      <c r="V208" s="111">
        <f>F208</f>
        <v>4021580.94</v>
      </c>
      <c r="W208" s="71">
        <v>2017</v>
      </c>
      <c r="X208" s="71">
        <v>2017</v>
      </c>
      <c r="Y208" s="52" t="s">
        <v>154</v>
      </c>
      <c r="Z208" s="52">
        <v>9</v>
      </c>
    </row>
    <row r="209" spans="1:29" s="24" customFormat="1" ht="18" customHeight="1">
      <c r="A209" s="51">
        <f t="shared" si="67"/>
        <v>181</v>
      </c>
      <c r="B209" s="151" t="s">
        <v>293</v>
      </c>
      <c r="C209" s="51">
        <v>1985</v>
      </c>
      <c r="D209" s="157">
        <v>2883.3</v>
      </c>
      <c r="E209" s="158">
        <v>2207.5</v>
      </c>
      <c r="F209" s="54">
        <f>G209+I209+J209+L209+N209+P209+R209</f>
        <v>4021580.94</v>
      </c>
      <c r="G209" s="53">
        <v>0</v>
      </c>
      <c r="H209" s="53">
        <f t="shared" si="65"/>
        <v>0</v>
      </c>
      <c r="I209" s="53">
        <v>4021580.94</v>
      </c>
      <c r="J209" s="53">
        <v>0</v>
      </c>
      <c r="K209" s="53">
        <f t="shared" si="66"/>
        <v>0</v>
      </c>
      <c r="L209" s="53">
        <v>0</v>
      </c>
      <c r="M209" s="53"/>
      <c r="N209" s="53">
        <v>0</v>
      </c>
      <c r="O209" s="53"/>
      <c r="P209" s="53">
        <v>0</v>
      </c>
      <c r="Q209" s="53"/>
      <c r="R209" s="53">
        <v>0</v>
      </c>
      <c r="S209" s="53">
        <v>0</v>
      </c>
      <c r="T209" s="53">
        <v>0</v>
      </c>
      <c r="U209" s="53">
        <v>0</v>
      </c>
      <c r="V209" s="111">
        <f>F209</f>
        <v>4021580.94</v>
      </c>
      <c r="W209" s="71">
        <v>2017</v>
      </c>
      <c r="X209" s="71">
        <v>2017</v>
      </c>
      <c r="Y209" s="52" t="s">
        <v>154</v>
      </c>
      <c r="Z209" s="52">
        <v>9</v>
      </c>
    </row>
    <row r="210" spans="1:29" s="24" customFormat="1" ht="18" customHeight="1">
      <c r="A210" s="51">
        <f t="shared" si="67"/>
        <v>182</v>
      </c>
      <c r="B210" s="151" t="s">
        <v>294</v>
      </c>
      <c r="C210" s="51">
        <v>1993</v>
      </c>
      <c r="D210" s="34">
        <v>5822.6</v>
      </c>
      <c r="E210" s="34">
        <v>4150.8</v>
      </c>
      <c r="F210" s="54">
        <f>G210+I210+J210+L210+N210+P210+R210</f>
        <v>940446.76</v>
      </c>
      <c r="G210" s="53">
        <v>0</v>
      </c>
      <c r="H210" s="53">
        <f t="shared" si="65"/>
        <v>0</v>
      </c>
      <c r="I210" s="53">
        <v>0</v>
      </c>
      <c r="J210" s="53">
        <v>0</v>
      </c>
      <c r="K210" s="53">
        <f t="shared" si="66"/>
        <v>0</v>
      </c>
      <c r="L210" s="53">
        <v>0</v>
      </c>
      <c r="M210" s="53"/>
      <c r="N210" s="53">
        <f>ROUND(226.57*E210,2)</f>
        <v>940446.76</v>
      </c>
      <c r="O210" s="53">
        <f>N210/E210</f>
        <v>226.57000096366966</v>
      </c>
      <c r="P210" s="53">
        <v>0</v>
      </c>
      <c r="Q210" s="53"/>
      <c r="R210" s="53">
        <v>0</v>
      </c>
      <c r="S210" s="53">
        <v>0</v>
      </c>
      <c r="T210" s="53">
        <v>0</v>
      </c>
      <c r="U210" s="53">
        <v>0</v>
      </c>
      <c r="V210" s="111">
        <f>F210</f>
        <v>940446.76</v>
      </c>
      <c r="W210" s="71">
        <v>2017</v>
      </c>
      <c r="X210" s="71">
        <v>2017</v>
      </c>
      <c r="Y210" s="52" t="s">
        <v>154</v>
      </c>
      <c r="Z210" s="52">
        <v>5</v>
      </c>
    </row>
    <row r="211" spans="1:29" s="24" customFormat="1" ht="18" customHeight="1">
      <c r="A211" s="51">
        <f t="shared" si="67"/>
        <v>183</v>
      </c>
      <c r="B211" s="52" t="s">
        <v>121</v>
      </c>
      <c r="C211" s="51">
        <v>1954</v>
      </c>
      <c r="D211" s="34">
        <v>563.29999999999995</v>
      </c>
      <c r="E211" s="34">
        <v>517.70000000000005</v>
      </c>
      <c r="F211" s="54">
        <f t="shared" ref="F211:F217" si="68">G211+I211+J211+L211+N211+P211+R211</f>
        <v>585487.64</v>
      </c>
      <c r="G211" s="53">
        <v>0</v>
      </c>
      <c r="H211" s="53">
        <f t="shared" si="65"/>
        <v>0</v>
      </c>
      <c r="I211" s="53">
        <v>0</v>
      </c>
      <c r="J211" s="53">
        <v>0</v>
      </c>
      <c r="K211" s="53">
        <f t="shared" si="66"/>
        <v>0</v>
      </c>
      <c r="L211" s="53">
        <v>0</v>
      </c>
      <c r="M211" s="53"/>
      <c r="N211" s="53">
        <f>ROUND(882.1*E211,2)</f>
        <v>456663.17</v>
      </c>
      <c r="O211" s="53">
        <f>N211/E211</f>
        <v>882.09999999999991</v>
      </c>
      <c r="P211" s="53">
        <f>ROUND(248.84*E211,2)</f>
        <v>128824.47</v>
      </c>
      <c r="Q211" s="53">
        <f>P211/E211</f>
        <v>248.84000386324124</v>
      </c>
      <c r="R211" s="53">
        <v>0</v>
      </c>
      <c r="S211" s="53">
        <v>0</v>
      </c>
      <c r="T211" s="53">
        <v>0</v>
      </c>
      <c r="U211" s="53">
        <v>0</v>
      </c>
      <c r="V211" s="111">
        <f t="shared" ref="V211:V217" si="69">F211</f>
        <v>585487.64</v>
      </c>
      <c r="W211" s="71">
        <v>2017</v>
      </c>
      <c r="X211" s="71">
        <v>2017</v>
      </c>
      <c r="Y211" s="52" t="s">
        <v>155</v>
      </c>
      <c r="Z211" s="52">
        <v>2</v>
      </c>
    </row>
    <row r="212" spans="1:29" s="24" customFormat="1" ht="18" customHeight="1">
      <c r="A212" s="51">
        <f t="shared" si="67"/>
        <v>184</v>
      </c>
      <c r="B212" s="52" t="s">
        <v>295</v>
      </c>
      <c r="C212" s="51">
        <v>1957</v>
      </c>
      <c r="D212" s="34">
        <v>243.8</v>
      </c>
      <c r="E212" s="34">
        <v>221.2</v>
      </c>
      <c r="F212" s="54">
        <f t="shared" si="68"/>
        <v>352860.45</v>
      </c>
      <c r="G212" s="53">
        <v>0</v>
      </c>
      <c r="H212" s="53">
        <f t="shared" si="65"/>
        <v>0</v>
      </c>
      <c r="I212" s="53">
        <v>0</v>
      </c>
      <c r="J212" s="53">
        <f>ROUND(1595.21*E212,2)</f>
        <v>352860.45</v>
      </c>
      <c r="K212" s="53">
        <f t="shared" si="66"/>
        <v>1595.2099909584088</v>
      </c>
      <c r="L212" s="53">
        <v>0</v>
      </c>
      <c r="M212" s="53"/>
      <c r="N212" s="53">
        <v>0</v>
      </c>
      <c r="O212" s="53"/>
      <c r="P212" s="53">
        <v>0</v>
      </c>
      <c r="Q212" s="53"/>
      <c r="R212" s="53">
        <v>0</v>
      </c>
      <c r="S212" s="53">
        <v>0</v>
      </c>
      <c r="T212" s="53">
        <v>0</v>
      </c>
      <c r="U212" s="53">
        <v>0</v>
      </c>
      <c r="V212" s="111">
        <f t="shared" si="69"/>
        <v>352860.45</v>
      </c>
      <c r="W212" s="71">
        <v>2017</v>
      </c>
      <c r="X212" s="71">
        <v>2017</v>
      </c>
      <c r="Y212" s="52" t="s">
        <v>155</v>
      </c>
      <c r="Z212" s="52">
        <v>2</v>
      </c>
    </row>
    <row r="213" spans="1:29" s="24" customFormat="1" ht="18" customHeight="1">
      <c r="A213" s="51">
        <f t="shared" si="67"/>
        <v>185</v>
      </c>
      <c r="B213" s="52" t="s">
        <v>296</v>
      </c>
      <c r="C213" s="51">
        <v>1954</v>
      </c>
      <c r="D213" s="34">
        <v>991.4</v>
      </c>
      <c r="E213" s="34">
        <v>867.3</v>
      </c>
      <c r="F213" s="54">
        <f t="shared" si="68"/>
        <v>1383525.63</v>
      </c>
      <c r="G213" s="53">
        <v>0</v>
      </c>
      <c r="H213" s="53">
        <f t="shared" si="65"/>
        <v>0</v>
      </c>
      <c r="I213" s="53">
        <v>0</v>
      </c>
      <c r="J213" s="53">
        <f>ROUND(1595.21*E213,2)</f>
        <v>1383525.63</v>
      </c>
      <c r="K213" s="53">
        <f t="shared" si="66"/>
        <v>1595.2099965409893</v>
      </c>
      <c r="L213" s="53">
        <v>0</v>
      </c>
      <c r="M213" s="53"/>
      <c r="N213" s="53">
        <v>0</v>
      </c>
      <c r="O213" s="53"/>
      <c r="P213" s="53">
        <v>0</v>
      </c>
      <c r="Q213" s="53"/>
      <c r="R213" s="53">
        <v>0</v>
      </c>
      <c r="S213" s="53">
        <v>0</v>
      </c>
      <c r="T213" s="53">
        <v>0</v>
      </c>
      <c r="U213" s="53">
        <v>0</v>
      </c>
      <c r="V213" s="111">
        <f t="shared" si="69"/>
        <v>1383525.63</v>
      </c>
      <c r="W213" s="71">
        <v>2017</v>
      </c>
      <c r="X213" s="71">
        <v>2017</v>
      </c>
      <c r="Y213" s="52" t="s">
        <v>155</v>
      </c>
      <c r="Z213" s="52">
        <v>2</v>
      </c>
    </row>
    <row r="214" spans="1:29" s="24" customFormat="1" ht="18" customHeight="1">
      <c r="A214" s="51">
        <f t="shared" si="67"/>
        <v>186</v>
      </c>
      <c r="B214" s="52" t="s">
        <v>298</v>
      </c>
      <c r="C214" s="51">
        <v>1956</v>
      </c>
      <c r="D214" s="34">
        <v>243.1</v>
      </c>
      <c r="E214" s="34">
        <v>220.9</v>
      </c>
      <c r="F214" s="54">
        <f t="shared" si="68"/>
        <v>547237.78</v>
      </c>
      <c r="G214" s="53">
        <v>0</v>
      </c>
      <c r="H214" s="53">
        <f t="shared" si="65"/>
        <v>0</v>
      </c>
      <c r="I214" s="53">
        <v>0</v>
      </c>
      <c r="J214" s="53">
        <f>ROUND(1595.21*E214,2)</f>
        <v>352381.89</v>
      </c>
      <c r="K214" s="53">
        <f t="shared" si="66"/>
        <v>1595.2100045269353</v>
      </c>
      <c r="L214" s="53">
        <v>0</v>
      </c>
      <c r="M214" s="53"/>
      <c r="N214" s="53">
        <f>ROUND(882.1*E214,2)</f>
        <v>194855.89</v>
      </c>
      <c r="O214" s="53">
        <f>N214/E214</f>
        <v>882.1</v>
      </c>
      <c r="P214" s="53">
        <v>0</v>
      </c>
      <c r="Q214" s="53"/>
      <c r="R214" s="53">
        <v>0</v>
      </c>
      <c r="S214" s="53">
        <v>0</v>
      </c>
      <c r="T214" s="53">
        <v>0</v>
      </c>
      <c r="U214" s="53">
        <v>0</v>
      </c>
      <c r="V214" s="111">
        <f t="shared" si="69"/>
        <v>547237.78</v>
      </c>
      <c r="W214" s="71">
        <v>2017</v>
      </c>
      <c r="X214" s="71">
        <v>2017</v>
      </c>
      <c r="Y214" s="52" t="s">
        <v>155</v>
      </c>
      <c r="Z214" s="52">
        <v>2</v>
      </c>
    </row>
    <row r="215" spans="1:29" s="24" customFormat="1" ht="18" customHeight="1">
      <c r="A215" s="51">
        <f t="shared" si="67"/>
        <v>187</v>
      </c>
      <c r="B215" s="52" t="s">
        <v>299</v>
      </c>
      <c r="C215" s="51">
        <v>1953</v>
      </c>
      <c r="D215" s="34">
        <v>996.3</v>
      </c>
      <c r="E215" s="34">
        <v>889.1</v>
      </c>
      <c r="F215" s="54">
        <f t="shared" si="68"/>
        <v>1418301.21</v>
      </c>
      <c r="G215" s="53">
        <v>0</v>
      </c>
      <c r="H215" s="53">
        <f t="shared" si="65"/>
        <v>0</v>
      </c>
      <c r="I215" s="53">
        <v>0</v>
      </c>
      <c r="J215" s="53">
        <f>ROUND(1595.21*E215,2)</f>
        <v>1418301.21</v>
      </c>
      <c r="K215" s="53">
        <f t="shared" si="66"/>
        <v>1595.209998875267</v>
      </c>
      <c r="L215" s="53">
        <v>0</v>
      </c>
      <c r="M215" s="53"/>
      <c r="N215" s="53">
        <v>0</v>
      </c>
      <c r="O215" s="53"/>
      <c r="P215" s="53">
        <v>0</v>
      </c>
      <c r="Q215" s="53"/>
      <c r="R215" s="53">
        <v>0</v>
      </c>
      <c r="S215" s="53">
        <v>0</v>
      </c>
      <c r="T215" s="53">
        <v>0</v>
      </c>
      <c r="U215" s="53">
        <v>0</v>
      </c>
      <c r="V215" s="111">
        <f t="shared" si="69"/>
        <v>1418301.21</v>
      </c>
      <c r="W215" s="71">
        <v>2017</v>
      </c>
      <c r="X215" s="71">
        <v>2017</v>
      </c>
      <c r="Y215" s="52" t="s">
        <v>155</v>
      </c>
      <c r="Z215" s="52">
        <v>2</v>
      </c>
    </row>
    <row r="216" spans="1:29" s="24" customFormat="1" ht="18" customHeight="1">
      <c r="A216" s="51">
        <f t="shared" si="67"/>
        <v>188</v>
      </c>
      <c r="B216" s="52" t="s">
        <v>300</v>
      </c>
      <c r="C216" s="51">
        <v>1950</v>
      </c>
      <c r="D216" s="34">
        <v>544.79999999999995</v>
      </c>
      <c r="E216" s="34">
        <v>351.5</v>
      </c>
      <c r="F216" s="54">
        <f t="shared" si="68"/>
        <v>1252137.9099999999</v>
      </c>
      <c r="G216" s="53">
        <v>0</v>
      </c>
      <c r="H216" s="53">
        <f t="shared" si="65"/>
        <v>0</v>
      </c>
      <c r="I216" s="53">
        <v>0</v>
      </c>
      <c r="J216" s="53">
        <f>ROUND(3562.27*E216,2)</f>
        <v>1252137.9099999999</v>
      </c>
      <c r="K216" s="53">
        <f t="shared" si="66"/>
        <v>3562.2700142247509</v>
      </c>
      <c r="L216" s="53">
        <v>0</v>
      </c>
      <c r="M216" s="53"/>
      <c r="N216" s="53">
        <v>0</v>
      </c>
      <c r="O216" s="53"/>
      <c r="P216" s="53">
        <v>0</v>
      </c>
      <c r="Q216" s="53"/>
      <c r="R216" s="53">
        <v>0</v>
      </c>
      <c r="S216" s="53">
        <v>0</v>
      </c>
      <c r="T216" s="53">
        <v>0</v>
      </c>
      <c r="U216" s="53">
        <v>0</v>
      </c>
      <c r="V216" s="111">
        <f t="shared" si="69"/>
        <v>1252137.9099999999</v>
      </c>
      <c r="W216" s="71">
        <v>2017</v>
      </c>
      <c r="X216" s="71">
        <v>2017</v>
      </c>
      <c r="Y216" s="52" t="s">
        <v>301</v>
      </c>
      <c r="Z216" s="52">
        <v>2</v>
      </c>
    </row>
    <row r="217" spans="1:29" s="24" customFormat="1" ht="18" customHeight="1">
      <c r="A217" s="51">
        <f t="shared" si="67"/>
        <v>189</v>
      </c>
      <c r="B217" s="52" t="s">
        <v>297</v>
      </c>
      <c r="C217" s="51">
        <v>1976</v>
      </c>
      <c r="D217" s="34">
        <v>544.79999999999995</v>
      </c>
      <c r="E217" s="34">
        <v>507.8</v>
      </c>
      <c r="F217" s="54">
        <f t="shared" si="68"/>
        <v>1808920.71</v>
      </c>
      <c r="G217" s="53">
        <v>0</v>
      </c>
      <c r="H217" s="53"/>
      <c r="I217" s="53">
        <v>0</v>
      </c>
      <c r="J217" s="53">
        <f>ROUND(3562.27*E217,2)</f>
        <v>1808920.71</v>
      </c>
      <c r="K217" s="53">
        <f t="shared" si="66"/>
        <v>3562.2700078771168</v>
      </c>
      <c r="L217" s="53">
        <v>0</v>
      </c>
      <c r="M217" s="53"/>
      <c r="N217" s="53">
        <v>0</v>
      </c>
      <c r="O217" s="53"/>
      <c r="P217" s="53">
        <v>0</v>
      </c>
      <c r="Q217" s="53"/>
      <c r="R217" s="53">
        <v>0</v>
      </c>
      <c r="S217" s="53">
        <v>0</v>
      </c>
      <c r="T217" s="53">
        <v>0</v>
      </c>
      <c r="U217" s="53">
        <v>0</v>
      </c>
      <c r="V217" s="111">
        <f t="shared" si="69"/>
        <v>1808920.71</v>
      </c>
      <c r="W217" s="71">
        <v>2017</v>
      </c>
      <c r="X217" s="71">
        <v>2017</v>
      </c>
      <c r="Y217" s="52" t="s">
        <v>301</v>
      </c>
      <c r="Z217" s="52">
        <v>2</v>
      </c>
    </row>
    <row r="218" spans="1:29" ht="18" customHeight="1">
      <c r="A218" s="352" t="s">
        <v>280</v>
      </c>
      <c r="B218" s="353"/>
      <c r="C218" s="51"/>
      <c r="D218" s="70">
        <f>SUM(D206:D217)</f>
        <v>24257.699999999993</v>
      </c>
      <c r="E218" s="70">
        <f t="shared" ref="E218:V218" si="70">SUM(E206:E217)</f>
        <v>18442.600000000002</v>
      </c>
      <c r="F218" s="113">
        <f t="shared" si="70"/>
        <v>20117823.329999998</v>
      </c>
      <c r="G218" s="50">
        <f t="shared" si="70"/>
        <v>0</v>
      </c>
      <c r="H218" s="113"/>
      <c r="I218" s="113">
        <f t="shared" si="70"/>
        <v>8043161.8799999999</v>
      </c>
      <c r="J218" s="113">
        <f t="shared" si="70"/>
        <v>9624794.8399999999</v>
      </c>
      <c r="K218" s="113"/>
      <c r="L218" s="50">
        <f t="shared" si="70"/>
        <v>0</v>
      </c>
      <c r="M218" s="113"/>
      <c r="N218" s="113">
        <f t="shared" si="70"/>
        <v>1591965.8199999998</v>
      </c>
      <c r="O218" s="113"/>
      <c r="P218" s="113">
        <f t="shared" si="70"/>
        <v>857900.78999999992</v>
      </c>
      <c r="Q218" s="113"/>
      <c r="R218" s="50">
        <f t="shared" si="70"/>
        <v>0</v>
      </c>
      <c r="S218" s="50">
        <f t="shared" si="70"/>
        <v>0</v>
      </c>
      <c r="T218" s="50">
        <f t="shared" si="70"/>
        <v>0</v>
      </c>
      <c r="U218" s="50">
        <f t="shared" si="70"/>
        <v>0</v>
      </c>
      <c r="V218" s="113">
        <f t="shared" si="70"/>
        <v>20117823.329999998</v>
      </c>
      <c r="W218" s="22" t="s">
        <v>117</v>
      </c>
      <c r="X218" s="22" t="s">
        <v>117</v>
      </c>
    </row>
    <row r="219" spans="1:29" ht="18" customHeight="1">
      <c r="A219" s="367" t="s">
        <v>30</v>
      </c>
      <c r="B219" s="359"/>
      <c r="C219" s="359"/>
      <c r="D219" s="359"/>
      <c r="E219" s="359"/>
      <c r="F219" s="359"/>
      <c r="G219" s="359"/>
      <c r="H219" s="359"/>
      <c r="I219" s="359"/>
      <c r="J219" s="359"/>
      <c r="K219" s="359"/>
      <c r="L219" s="359"/>
      <c r="M219" s="359"/>
      <c r="N219" s="359"/>
      <c r="O219" s="359"/>
      <c r="P219" s="359"/>
      <c r="Q219" s="359"/>
      <c r="R219" s="359"/>
      <c r="S219" s="359"/>
      <c r="T219" s="359"/>
      <c r="U219" s="359"/>
      <c r="V219" s="368"/>
      <c r="W219" s="29"/>
      <c r="X219" s="30"/>
      <c r="AA219" s="8" t="s">
        <v>359</v>
      </c>
      <c r="AB219" s="2" t="s">
        <v>360</v>
      </c>
      <c r="AC219" s="2" t="s">
        <v>361</v>
      </c>
    </row>
    <row r="220" spans="1:29" s="24" customFormat="1" ht="16.5" customHeight="1">
      <c r="A220" s="51">
        <f>A217+1</f>
        <v>190</v>
      </c>
      <c r="B220" s="189" t="s">
        <v>337</v>
      </c>
      <c r="C220" s="191">
        <v>1975</v>
      </c>
      <c r="D220" s="194">
        <v>2856</v>
      </c>
      <c r="E220" s="194">
        <v>2456.5</v>
      </c>
      <c r="F220" s="54">
        <f t="shared" ref="F220:F257" si="71">G220+I220+J220+L220+N220+P220+R220</f>
        <v>3341112.3400000003</v>
      </c>
      <c r="G220" s="53">
        <v>0</v>
      </c>
      <c r="H220" s="53"/>
      <c r="I220" s="204">
        <v>2544152.91</v>
      </c>
      <c r="J220" s="53">
        <v>0</v>
      </c>
      <c r="K220" s="53"/>
      <c r="L220" s="53">
        <v>0</v>
      </c>
      <c r="M220" s="53"/>
      <c r="N220" s="204">
        <v>796959.43</v>
      </c>
      <c r="O220" s="53">
        <f t="shared" ref="O220:O257" si="72">N220/E220</f>
        <v>324.42883370649298</v>
      </c>
      <c r="P220" s="53">
        <v>0</v>
      </c>
      <c r="Q220" s="53">
        <v>0</v>
      </c>
      <c r="R220" s="53">
        <v>0</v>
      </c>
      <c r="S220" s="53">
        <v>0</v>
      </c>
      <c r="T220" s="53">
        <v>0</v>
      </c>
      <c r="U220" s="53">
        <v>0</v>
      </c>
      <c r="V220" s="114">
        <f>F220</f>
        <v>3341112.3400000003</v>
      </c>
      <c r="W220" s="71">
        <v>2017</v>
      </c>
      <c r="X220" s="71">
        <v>2017</v>
      </c>
      <c r="Y220" s="198" t="s">
        <v>307</v>
      </c>
      <c r="Z220" s="199">
        <v>9</v>
      </c>
      <c r="AC220" s="143">
        <v>889.52</v>
      </c>
    </row>
    <row r="221" spans="1:29" s="24" customFormat="1" ht="16.5" customHeight="1">
      <c r="A221" s="51">
        <f>A220+1</f>
        <v>191</v>
      </c>
      <c r="B221" s="189" t="s">
        <v>338</v>
      </c>
      <c r="C221" s="191">
        <v>1975</v>
      </c>
      <c r="D221" s="194">
        <v>2550.3000000000002</v>
      </c>
      <c r="E221" s="194">
        <v>2193.9</v>
      </c>
      <c r="F221" s="54">
        <f t="shared" si="71"/>
        <v>1984556.42</v>
      </c>
      <c r="G221" s="53">
        <v>0</v>
      </c>
      <c r="H221" s="53"/>
      <c r="I221" s="53">
        <v>0</v>
      </c>
      <c r="J221" s="204">
        <v>1984556.42</v>
      </c>
      <c r="K221" s="53">
        <f>J221/E221</f>
        <v>904.57925156114675</v>
      </c>
      <c r="L221" s="53">
        <v>0</v>
      </c>
      <c r="M221" s="53"/>
      <c r="N221" s="53">
        <v>0</v>
      </c>
      <c r="O221" s="53">
        <f t="shared" si="72"/>
        <v>0</v>
      </c>
      <c r="P221" s="53">
        <v>0</v>
      </c>
      <c r="Q221" s="53">
        <v>0</v>
      </c>
      <c r="R221" s="53">
        <v>0</v>
      </c>
      <c r="S221" s="53">
        <v>0</v>
      </c>
      <c r="T221" s="53">
        <v>0</v>
      </c>
      <c r="U221" s="53">
        <v>0</v>
      </c>
      <c r="V221" s="114">
        <f t="shared" ref="V221:V257" si="73">F221</f>
        <v>1984556.42</v>
      </c>
      <c r="W221" s="71">
        <v>2017</v>
      </c>
      <c r="X221" s="71">
        <v>2017</v>
      </c>
      <c r="Y221" s="198" t="s">
        <v>356</v>
      </c>
      <c r="Z221" s="199">
        <v>5</v>
      </c>
      <c r="AB221" s="143">
        <v>928.66</v>
      </c>
    </row>
    <row r="222" spans="1:29" s="24" customFormat="1" ht="16.5" customHeight="1">
      <c r="A222" s="51">
        <f t="shared" ref="A222:A257" si="74">A221+1</f>
        <v>192</v>
      </c>
      <c r="B222" s="189" t="s">
        <v>339</v>
      </c>
      <c r="C222" s="191">
        <v>1979</v>
      </c>
      <c r="D222" s="194">
        <v>15928.3</v>
      </c>
      <c r="E222" s="194">
        <v>14600.6</v>
      </c>
      <c r="F222" s="54">
        <f t="shared" si="71"/>
        <v>1465679.95</v>
      </c>
      <c r="G222" s="53">
        <v>0</v>
      </c>
      <c r="H222" s="53"/>
      <c r="I222" s="53">
        <v>0</v>
      </c>
      <c r="J222" s="53">
        <v>0</v>
      </c>
      <c r="K222" s="53">
        <f t="shared" ref="K222:K257" si="75">J222/E222</f>
        <v>0</v>
      </c>
      <c r="L222" s="53">
        <v>0</v>
      </c>
      <c r="M222" s="53"/>
      <c r="N222" s="204">
        <v>1465679.95</v>
      </c>
      <c r="O222" s="53">
        <f t="shared" si="72"/>
        <v>100.38491226387956</v>
      </c>
      <c r="P222" s="53">
        <v>0</v>
      </c>
      <c r="Q222" s="53">
        <v>0</v>
      </c>
      <c r="R222" s="53">
        <v>0</v>
      </c>
      <c r="S222" s="53">
        <v>0</v>
      </c>
      <c r="T222" s="53">
        <v>0</v>
      </c>
      <c r="U222" s="53">
        <v>0</v>
      </c>
      <c r="V222" s="114">
        <f t="shared" si="73"/>
        <v>1465679.95</v>
      </c>
      <c r="W222" s="71">
        <v>2017</v>
      </c>
      <c r="X222" s="71">
        <v>2017</v>
      </c>
      <c r="Y222" s="198" t="s">
        <v>357</v>
      </c>
      <c r="Z222" s="199">
        <v>9</v>
      </c>
      <c r="AC222" s="143">
        <v>315.58999999999997</v>
      </c>
    </row>
    <row r="223" spans="1:29" s="24" customFormat="1" ht="16.5" customHeight="1">
      <c r="A223" s="51">
        <f t="shared" si="74"/>
        <v>193</v>
      </c>
      <c r="B223" s="189" t="s">
        <v>340</v>
      </c>
      <c r="C223" s="191">
        <v>1981</v>
      </c>
      <c r="D223" s="194">
        <v>16115.4</v>
      </c>
      <c r="E223" s="194">
        <v>13758.2</v>
      </c>
      <c r="F223" s="54">
        <f t="shared" si="71"/>
        <v>1465679.95</v>
      </c>
      <c r="G223" s="53">
        <v>0</v>
      </c>
      <c r="H223" s="53"/>
      <c r="I223" s="53">
        <v>0</v>
      </c>
      <c r="J223" s="53">
        <v>0</v>
      </c>
      <c r="K223" s="53">
        <f t="shared" si="75"/>
        <v>0</v>
      </c>
      <c r="L223" s="53">
        <v>0</v>
      </c>
      <c r="M223" s="53"/>
      <c r="N223" s="204">
        <v>1465679.95</v>
      </c>
      <c r="O223" s="53">
        <f t="shared" si="72"/>
        <v>106.53137401694988</v>
      </c>
      <c r="P223" s="53">
        <v>0</v>
      </c>
      <c r="Q223" s="53">
        <v>0</v>
      </c>
      <c r="R223" s="53">
        <v>0</v>
      </c>
      <c r="S223" s="53">
        <v>0</v>
      </c>
      <c r="T223" s="53">
        <v>0</v>
      </c>
      <c r="U223" s="53">
        <v>0</v>
      </c>
      <c r="V223" s="114">
        <f t="shared" si="73"/>
        <v>1465679.95</v>
      </c>
      <c r="W223" s="71">
        <v>2017</v>
      </c>
      <c r="X223" s="71">
        <v>2017</v>
      </c>
      <c r="Y223" s="198" t="s">
        <v>357</v>
      </c>
      <c r="Z223" s="199">
        <v>9</v>
      </c>
      <c r="AC223" s="143">
        <v>315.58999999999997</v>
      </c>
    </row>
    <row r="224" spans="1:29" s="24" customFormat="1" ht="16.5" customHeight="1">
      <c r="A224" s="51">
        <f t="shared" si="74"/>
        <v>194</v>
      </c>
      <c r="B224" s="189" t="s">
        <v>341</v>
      </c>
      <c r="C224" s="191">
        <v>1982</v>
      </c>
      <c r="D224" s="194">
        <v>12217.4</v>
      </c>
      <c r="E224" s="194">
        <v>10261</v>
      </c>
      <c r="F224" s="54">
        <f t="shared" si="71"/>
        <v>1099259.96</v>
      </c>
      <c r="G224" s="53">
        <v>0</v>
      </c>
      <c r="H224" s="53"/>
      <c r="I224" s="53">
        <v>0</v>
      </c>
      <c r="J224" s="53">
        <v>0</v>
      </c>
      <c r="K224" s="53">
        <f t="shared" si="75"/>
        <v>0</v>
      </c>
      <c r="L224" s="53">
        <v>0</v>
      </c>
      <c r="M224" s="53"/>
      <c r="N224" s="204">
        <v>1099259.96</v>
      </c>
      <c r="O224" s="53">
        <f t="shared" si="72"/>
        <v>107.12990546730337</v>
      </c>
      <c r="P224" s="53">
        <v>0</v>
      </c>
      <c r="Q224" s="53">
        <v>0</v>
      </c>
      <c r="R224" s="53">
        <v>0</v>
      </c>
      <c r="S224" s="53">
        <v>0</v>
      </c>
      <c r="T224" s="53">
        <v>0</v>
      </c>
      <c r="U224" s="53">
        <v>0</v>
      </c>
      <c r="V224" s="114">
        <f t="shared" si="73"/>
        <v>1099259.96</v>
      </c>
      <c r="W224" s="71">
        <v>2017</v>
      </c>
      <c r="X224" s="71">
        <v>2017</v>
      </c>
      <c r="Y224" s="198" t="s">
        <v>357</v>
      </c>
      <c r="Z224" s="199">
        <v>9</v>
      </c>
      <c r="AC224" s="143">
        <v>315.58999999999997</v>
      </c>
    </row>
    <row r="225" spans="1:29" s="24" customFormat="1" ht="16.5" customHeight="1">
      <c r="A225" s="51">
        <f t="shared" si="74"/>
        <v>195</v>
      </c>
      <c r="B225" s="189" t="s">
        <v>126</v>
      </c>
      <c r="C225" s="191">
        <v>1986</v>
      </c>
      <c r="D225" s="194">
        <v>7735.7</v>
      </c>
      <c r="E225" s="194">
        <v>6554.1</v>
      </c>
      <c r="F225" s="54">
        <f t="shared" si="71"/>
        <v>5681700.1299999999</v>
      </c>
      <c r="G225" s="204">
        <f>1134206.1+1400000+3147494.03</f>
        <v>5681700.1299999999</v>
      </c>
      <c r="H225" s="53">
        <f>G225/E225</f>
        <v>866.8924993515509</v>
      </c>
      <c r="I225" s="53">
        <v>0</v>
      </c>
      <c r="J225" s="53">
        <v>0</v>
      </c>
      <c r="K225" s="53">
        <f t="shared" si="75"/>
        <v>0</v>
      </c>
      <c r="L225" s="53">
        <v>0</v>
      </c>
      <c r="M225" s="53"/>
      <c r="N225" s="53">
        <v>0</v>
      </c>
      <c r="O225" s="53">
        <f t="shared" si="72"/>
        <v>0</v>
      </c>
      <c r="P225" s="53">
        <v>0</v>
      </c>
      <c r="Q225" s="53">
        <v>0</v>
      </c>
      <c r="R225" s="53">
        <v>0</v>
      </c>
      <c r="S225" s="53">
        <v>0</v>
      </c>
      <c r="T225" s="53">
        <v>0</v>
      </c>
      <c r="U225" s="53">
        <v>0</v>
      </c>
      <c r="V225" s="114">
        <f t="shared" si="73"/>
        <v>5681700.1299999999</v>
      </c>
      <c r="W225" s="71">
        <v>2017</v>
      </c>
      <c r="X225" s="71">
        <v>2017</v>
      </c>
      <c r="Y225" s="198" t="s">
        <v>356</v>
      </c>
      <c r="Z225" s="199">
        <v>9</v>
      </c>
      <c r="AA225" s="143">
        <f>493.96+107.99+169.07+469.18</f>
        <v>1240.2</v>
      </c>
    </row>
    <row r="226" spans="1:29" s="24" customFormat="1" ht="16.5" customHeight="1">
      <c r="A226" s="51">
        <f t="shared" si="74"/>
        <v>196</v>
      </c>
      <c r="B226" s="189" t="s">
        <v>342</v>
      </c>
      <c r="C226" s="191">
        <v>1988</v>
      </c>
      <c r="D226" s="194">
        <v>5805.8</v>
      </c>
      <c r="E226" s="194">
        <v>4935.6000000000004</v>
      </c>
      <c r="F226" s="54">
        <f t="shared" si="71"/>
        <v>1900878.5899999999</v>
      </c>
      <c r="G226" s="204">
        <f>850878.59+1050000</f>
        <v>1900878.5899999999</v>
      </c>
      <c r="H226" s="53">
        <f t="shared" ref="H226:H255" si="76">G226/E226</f>
        <v>385.1362731988005</v>
      </c>
      <c r="I226" s="53">
        <v>0</v>
      </c>
      <c r="J226" s="53">
        <v>0</v>
      </c>
      <c r="K226" s="53">
        <f t="shared" si="75"/>
        <v>0</v>
      </c>
      <c r="L226" s="53">
        <v>0</v>
      </c>
      <c r="M226" s="53"/>
      <c r="N226" s="53">
        <v>0</v>
      </c>
      <c r="O226" s="53">
        <f t="shared" si="72"/>
        <v>0</v>
      </c>
      <c r="P226" s="53">
        <v>0</v>
      </c>
      <c r="Q226" s="53">
        <v>0</v>
      </c>
      <c r="R226" s="53">
        <v>0</v>
      </c>
      <c r="S226" s="53">
        <v>0</v>
      </c>
      <c r="T226" s="53">
        <v>0</v>
      </c>
      <c r="U226" s="53">
        <v>0</v>
      </c>
      <c r="V226" s="114">
        <f t="shared" si="73"/>
        <v>1900878.5899999999</v>
      </c>
      <c r="W226" s="71">
        <v>2017</v>
      </c>
      <c r="X226" s="71">
        <v>2017</v>
      </c>
      <c r="Y226" s="198" t="s">
        <v>356</v>
      </c>
      <c r="Z226" s="200">
        <v>9</v>
      </c>
      <c r="AA226" s="143">
        <f>493.96+107.99+169.07+469.18</f>
        <v>1240.2</v>
      </c>
    </row>
    <row r="227" spans="1:29" s="24" customFormat="1" ht="16.5" customHeight="1">
      <c r="A227" s="51">
        <f t="shared" si="74"/>
        <v>197</v>
      </c>
      <c r="B227" s="189" t="s">
        <v>370</v>
      </c>
      <c r="C227" s="191">
        <v>1990</v>
      </c>
      <c r="D227" s="194">
        <v>2568.6</v>
      </c>
      <c r="E227" s="194">
        <v>2273.9</v>
      </c>
      <c r="F227" s="54">
        <f t="shared" si="71"/>
        <v>1126239.93</v>
      </c>
      <c r="G227" s="204">
        <f>ROUND(495.29*E227,2)</f>
        <v>1126239.93</v>
      </c>
      <c r="H227" s="53">
        <f t="shared" si="76"/>
        <v>495.28999956022687</v>
      </c>
      <c r="I227" s="53">
        <v>0</v>
      </c>
      <c r="J227" s="53">
        <v>0</v>
      </c>
      <c r="K227" s="53">
        <f t="shared" si="75"/>
        <v>0</v>
      </c>
      <c r="L227" s="53">
        <v>0</v>
      </c>
      <c r="M227" s="53"/>
      <c r="N227" s="53">
        <v>0</v>
      </c>
      <c r="O227" s="53">
        <f t="shared" si="72"/>
        <v>0</v>
      </c>
      <c r="P227" s="53">
        <v>0</v>
      </c>
      <c r="Q227" s="53">
        <v>0</v>
      </c>
      <c r="R227" s="53">
        <v>0</v>
      </c>
      <c r="S227" s="53">
        <v>0</v>
      </c>
      <c r="T227" s="53">
        <v>0</v>
      </c>
      <c r="U227" s="53">
        <v>0</v>
      </c>
      <c r="V227" s="114">
        <f t="shared" si="73"/>
        <v>1126239.93</v>
      </c>
      <c r="W227" s="71">
        <v>2017</v>
      </c>
      <c r="X227" s="71">
        <v>2017</v>
      </c>
      <c r="Y227" s="198" t="s">
        <v>356</v>
      </c>
      <c r="Z227" s="179">
        <v>5</v>
      </c>
      <c r="AA227" s="143">
        <v>495.29</v>
      </c>
    </row>
    <row r="228" spans="1:29" s="24" customFormat="1" ht="16.5" customHeight="1">
      <c r="A228" s="51">
        <f t="shared" si="74"/>
        <v>198</v>
      </c>
      <c r="B228" s="189" t="s">
        <v>343</v>
      </c>
      <c r="C228" s="191">
        <v>1988</v>
      </c>
      <c r="D228" s="194">
        <v>3945.2</v>
      </c>
      <c r="E228" s="194">
        <v>3451.3</v>
      </c>
      <c r="F228" s="54">
        <f t="shared" si="71"/>
        <v>1089195.767</v>
      </c>
      <c r="G228" s="53">
        <v>0</v>
      </c>
      <c r="H228" s="53">
        <f t="shared" si="76"/>
        <v>0</v>
      </c>
      <c r="I228" s="53">
        <v>0</v>
      </c>
      <c r="J228" s="53">
        <v>0</v>
      </c>
      <c r="K228" s="53">
        <f t="shared" si="75"/>
        <v>0</v>
      </c>
      <c r="L228" s="53">
        <v>0</v>
      </c>
      <c r="M228" s="53"/>
      <c r="N228" s="204">
        <f>3451.3*315.59</f>
        <v>1089195.767</v>
      </c>
      <c r="O228" s="53">
        <f t="shared" si="72"/>
        <v>315.58999999999997</v>
      </c>
      <c r="P228" s="53">
        <v>0</v>
      </c>
      <c r="Q228" s="53">
        <v>0</v>
      </c>
      <c r="R228" s="53">
        <v>0</v>
      </c>
      <c r="S228" s="53">
        <v>0</v>
      </c>
      <c r="T228" s="53">
        <v>0</v>
      </c>
      <c r="U228" s="53">
        <v>0</v>
      </c>
      <c r="V228" s="114">
        <f t="shared" si="73"/>
        <v>1089195.767</v>
      </c>
      <c r="W228" s="71">
        <v>2017</v>
      </c>
      <c r="X228" s="71">
        <v>2017</v>
      </c>
      <c r="Y228" s="198" t="s">
        <v>356</v>
      </c>
      <c r="Z228" s="199">
        <v>9</v>
      </c>
      <c r="AC228" s="143">
        <v>889.52</v>
      </c>
    </row>
    <row r="229" spans="1:29" s="24" customFormat="1" ht="16.5" customHeight="1">
      <c r="A229" s="51">
        <f t="shared" si="74"/>
        <v>199</v>
      </c>
      <c r="B229" s="189" t="s">
        <v>390</v>
      </c>
      <c r="C229" s="191">
        <v>1938</v>
      </c>
      <c r="D229" s="194">
        <v>1359.5</v>
      </c>
      <c r="E229" s="194">
        <v>1258.5</v>
      </c>
      <c r="F229" s="54">
        <f t="shared" si="71"/>
        <v>2942096.13</v>
      </c>
      <c r="G229" s="53">
        <v>0</v>
      </c>
      <c r="H229" s="53">
        <f t="shared" si="76"/>
        <v>0</v>
      </c>
      <c r="I229" s="53">
        <v>0</v>
      </c>
      <c r="J229" s="53">
        <v>0</v>
      </c>
      <c r="K229" s="53">
        <f t="shared" si="75"/>
        <v>0</v>
      </c>
      <c r="L229" s="53">
        <v>0</v>
      </c>
      <c r="M229" s="53"/>
      <c r="N229" s="204">
        <v>2942096.13</v>
      </c>
      <c r="O229" s="50">
        <f t="shared" si="72"/>
        <v>2337.7799999999997</v>
      </c>
      <c r="P229" s="53">
        <v>0</v>
      </c>
      <c r="Q229" s="53">
        <v>0</v>
      </c>
      <c r="R229" s="53">
        <v>0</v>
      </c>
      <c r="S229" s="53">
        <v>0</v>
      </c>
      <c r="T229" s="53">
        <v>0</v>
      </c>
      <c r="U229" s="53">
        <v>0</v>
      </c>
      <c r="V229" s="114">
        <f t="shared" si="73"/>
        <v>2942096.13</v>
      </c>
      <c r="W229" s="71">
        <v>2017</v>
      </c>
      <c r="X229" s="71">
        <v>2017</v>
      </c>
      <c r="Y229" s="198" t="s">
        <v>155</v>
      </c>
      <c r="Z229" s="199">
        <v>3</v>
      </c>
      <c r="AC229" s="206" t="s">
        <v>362</v>
      </c>
    </row>
    <row r="230" spans="1:29" s="24" customFormat="1" ht="16.5" customHeight="1">
      <c r="A230" s="51">
        <f t="shared" si="74"/>
        <v>200</v>
      </c>
      <c r="B230" s="189" t="s">
        <v>344</v>
      </c>
      <c r="C230" s="191">
        <v>1972</v>
      </c>
      <c r="D230" s="194">
        <v>4274.3999999999996</v>
      </c>
      <c r="E230" s="194">
        <v>3950.3</v>
      </c>
      <c r="F230" s="54">
        <f t="shared" si="71"/>
        <v>3400000</v>
      </c>
      <c r="G230" s="53">
        <v>0</v>
      </c>
      <c r="H230" s="53">
        <f t="shared" si="76"/>
        <v>0</v>
      </c>
      <c r="I230" s="53">
        <v>0</v>
      </c>
      <c r="J230" s="53">
        <v>0</v>
      </c>
      <c r="K230" s="53">
        <f t="shared" si="75"/>
        <v>0</v>
      </c>
      <c r="L230" s="53">
        <v>0</v>
      </c>
      <c r="M230" s="53"/>
      <c r="N230" s="204">
        <v>3400000</v>
      </c>
      <c r="O230" s="53">
        <f t="shared" si="72"/>
        <v>860.69412449687366</v>
      </c>
      <c r="P230" s="53">
        <v>0</v>
      </c>
      <c r="Q230" s="53">
        <v>0</v>
      </c>
      <c r="R230" s="53">
        <v>0</v>
      </c>
      <c r="S230" s="53">
        <v>0</v>
      </c>
      <c r="T230" s="53">
        <v>0</v>
      </c>
      <c r="U230" s="53">
        <v>0</v>
      </c>
      <c r="V230" s="114">
        <f t="shared" si="73"/>
        <v>3400000</v>
      </c>
      <c r="W230" s="71">
        <v>2017</v>
      </c>
      <c r="X230" s="71">
        <v>2017</v>
      </c>
      <c r="Y230" s="198" t="s">
        <v>155</v>
      </c>
      <c r="Z230" s="179">
        <v>5</v>
      </c>
      <c r="AC230" s="143">
        <v>882.1</v>
      </c>
    </row>
    <row r="231" spans="1:29" s="24" customFormat="1" ht="16.5" customHeight="1">
      <c r="A231" s="51">
        <f t="shared" si="74"/>
        <v>201</v>
      </c>
      <c r="B231" s="189" t="s">
        <v>345</v>
      </c>
      <c r="C231" s="191">
        <v>1991</v>
      </c>
      <c r="D231" s="194">
        <v>4512.8999999999996</v>
      </c>
      <c r="E231" s="194">
        <v>3925.1</v>
      </c>
      <c r="F231" s="54">
        <f t="shared" si="71"/>
        <v>1000000</v>
      </c>
      <c r="G231" s="53">
        <v>0</v>
      </c>
      <c r="H231" s="53">
        <f t="shared" si="76"/>
        <v>0</v>
      </c>
      <c r="I231" s="53">
        <v>0</v>
      </c>
      <c r="J231" s="204">
        <v>1000000</v>
      </c>
      <c r="K231" s="53">
        <f t="shared" si="75"/>
        <v>254.77057909352629</v>
      </c>
      <c r="L231" s="53">
        <v>0</v>
      </c>
      <c r="M231" s="53"/>
      <c r="N231" s="53">
        <v>0</v>
      </c>
      <c r="O231" s="53">
        <f t="shared" si="72"/>
        <v>0</v>
      </c>
      <c r="P231" s="53">
        <v>0</v>
      </c>
      <c r="Q231" s="53">
        <v>0</v>
      </c>
      <c r="R231" s="53">
        <v>0</v>
      </c>
      <c r="S231" s="53">
        <v>0</v>
      </c>
      <c r="T231" s="53">
        <v>0</v>
      </c>
      <c r="U231" s="53">
        <v>0</v>
      </c>
      <c r="V231" s="114">
        <f t="shared" si="73"/>
        <v>1000000</v>
      </c>
      <c r="W231" s="71">
        <v>2017</v>
      </c>
      <c r="X231" s="71">
        <v>2017</v>
      </c>
      <c r="Y231" s="198" t="s">
        <v>356</v>
      </c>
      <c r="Z231" s="179">
        <v>9</v>
      </c>
      <c r="AB231" s="143">
        <v>609.38</v>
      </c>
    </row>
    <row r="232" spans="1:29" s="24" customFormat="1" ht="16.5" customHeight="1">
      <c r="A232" s="51">
        <f t="shared" si="74"/>
        <v>202</v>
      </c>
      <c r="B232" s="189" t="s">
        <v>346</v>
      </c>
      <c r="C232" s="191">
        <v>1985</v>
      </c>
      <c r="D232" s="194">
        <v>2331.8000000000002</v>
      </c>
      <c r="E232" s="194">
        <v>2045.8</v>
      </c>
      <c r="F232" s="54">
        <f t="shared" si="71"/>
        <v>1500000</v>
      </c>
      <c r="G232" s="53">
        <v>0</v>
      </c>
      <c r="H232" s="53">
        <f t="shared" si="76"/>
        <v>0</v>
      </c>
      <c r="I232" s="53">
        <v>0</v>
      </c>
      <c r="J232" s="204">
        <v>1500000</v>
      </c>
      <c r="K232" s="53">
        <f t="shared" si="75"/>
        <v>733.20950239515105</v>
      </c>
      <c r="L232" s="53">
        <v>0</v>
      </c>
      <c r="M232" s="53"/>
      <c r="N232" s="53">
        <v>0</v>
      </c>
      <c r="O232" s="53">
        <f t="shared" si="72"/>
        <v>0</v>
      </c>
      <c r="P232" s="53">
        <v>0</v>
      </c>
      <c r="Q232" s="53">
        <v>0</v>
      </c>
      <c r="R232" s="53">
        <v>0</v>
      </c>
      <c r="S232" s="53">
        <v>0</v>
      </c>
      <c r="T232" s="53">
        <v>0</v>
      </c>
      <c r="U232" s="53">
        <v>0</v>
      </c>
      <c r="V232" s="114">
        <f t="shared" si="73"/>
        <v>1500000</v>
      </c>
      <c r="W232" s="71">
        <v>2017</v>
      </c>
      <c r="X232" s="71">
        <v>2017</v>
      </c>
      <c r="Y232" s="198" t="s">
        <v>356</v>
      </c>
      <c r="Z232" s="179">
        <v>5</v>
      </c>
      <c r="AB232" s="143">
        <v>928.66</v>
      </c>
    </row>
    <row r="233" spans="1:29" s="24" customFormat="1" ht="16.5" customHeight="1">
      <c r="A233" s="51">
        <f t="shared" si="74"/>
        <v>203</v>
      </c>
      <c r="B233" s="189" t="s">
        <v>347</v>
      </c>
      <c r="C233" s="191">
        <v>1972</v>
      </c>
      <c r="D233" s="194">
        <v>6353.3</v>
      </c>
      <c r="E233" s="194">
        <v>5672.6</v>
      </c>
      <c r="F233" s="54">
        <f t="shared" si="71"/>
        <v>2633958.36</v>
      </c>
      <c r="G233" s="53">
        <v>0</v>
      </c>
      <c r="H233" s="53">
        <f t="shared" si="76"/>
        <v>0</v>
      </c>
      <c r="I233" s="53">
        <v>0</v>
      </c>
      <c r="J233" s="204">
        <v>2633958.36</v>
      </c>
      <c r="K233" s="53">
        <f t="shared" si="75"/>
        <v>464.33000035257197</v>
      </c>
      <c r="L233" s="53">
        <v>0</v>
      </c>
      <c r="M233" s="53"/>
      <c r="N233" s="53">
        <v>0</v>
      </c>
      <c r="O233" s="53">
        <f t="shared" si="72"/>
        <v>0</v>
      </c>
      <c r="P233" s="53">
        <v>0</v>
      </c>
      <c r="Q233" s="53">
        <v>0</v>
      </c>
      <c r="R233" s="53">
        <v>0</v>
      </c>
      <c r="S233" s="53">
        <v>0</v>
      </c>
      <c r="T233" s="53">
        <v>0</v>
      </c>
      <c r="U233" s="53">
        <v>0</v>
      </c>
      <c r="V233" s="114">
        <f t="shared" si="73"/>
        <v>2633958.36</v>
      </c>
      <c r="W233" s="71">
        <v>2017</v>
      </c>
      <c r="X233" s="71">
        <v>2017</v>
      </c>
      <c r="Y233" s="198" t="s">
        <v>357</v>
      </c>
      <c r="Z233" s="179">
        <v>5</v>
      </c>
      <c r="AB233" s="143">
        <v>928.66</v>
      </c>
    </row>
    <row r="234" spans="1:29" s="24" customFormat="1" ht="16.5" customHeight="1">
      <c r="A234" s="51">
        <f t="shared" si="74"/>
        <v>204</v>
      </c>
      <c r="B234" s="189" t="s">
        <v>348</v>
      </c>
      <c r="C234" s="191">
        <v>1960</v>
      </c>
      <c r="D234" s="194">
        <v>2004.7</v>
      </c>
      <c r="E234" s="194">
        <v>1882.3</v>
      </c>
      <c r="F234" s="54">
        <f t="shared" si="71"/>
        <v>1300000</v>
      </c>
      <c r="G234" s="53">
        <v>0</v>
      </c>
      <c r="H234" s="53">
        <f t="shared" si="76"/>
        <v>0</v>
      </c>
      <c r="I234" s="53">
        <v>0</v>
      </c>
      <c r="J234" s="204">
        <v>1300000</v>
      </c>
      <c r="K234" s="53">
        <f t="shared" si="75"/>
        <v>690.64442437443552</v>
      </c>
      <c r="L234" s="53">
        <v>0</v>
      </c>
      <c r="M234" s="53"/>
      <c r="N234" s="53">
        <v>0</v>
      </c>
      <c r="O234" s="53">
        <f t="shared" si="72"/>
        <v>0</v>
      </c>
      <c r="P234" s="53">
        <v>0</v>
      </c>
      <c r="Q234" s="53">
        <v>0</v>
      </c>
      <c r="R234" s="53">
        <v>0</v>
      </c>
      <c r="S234" s="53">
        <v>0</v>
      </c>
      <c r="T234" s="53">
        <v>0</v>
      </c>
      <c r="U234" s="53">
        <v>0</v>
      </c>
      <c r="V234" s="114">
        <f t="shared" si="73"/>
        <v>1300000</v>
      </c>
      <c r="W234" s="71">
        <v>2017</v>
      </c>
      <c r="X234" s="71">
        <v>2017</v>
      </c>
      <c r="Y234" s="198" t="s">
        <v>155</v>
      </c>
      <c r="Z234" s="179">
        <v>6</v>
      </c>
      <c r="AB234" s="143">
        <v>914.54</v>
      </c>
    </row>
    <row r="235" spans="1:29" s="24" customFormat="1" ht="16.5" customHeight="1">
      <c r="A235" s="51">
        <f t="shared" si="74"/>
        <v>205</v>
      </c>
      <c r="B235" s="189" t="s">
        <v>349</v>
      </c>
      <c r="C235" s="191">
        <v>1978</v>
      </c>
      <c r="D235" s="194">
        <v>7952.7</v>
      </c>
      <c r="E235" s="194">
        <v>6980.7</v>
      </c>
      <c r="F235" s="54">
        <f t="shared" si="71"/>
        <v>2000000</v>
      </c>
      <c r="G235" s="53">
        <v>0</v>
      </c>
      <c r="H235" s="53">
        <f t="shared" si="76"/>
        <v>0</v>
      </c>
      <c r="I235" s="53">
        <v>0</v>
      </c>
      <c r="J235" s="204">
        <v>2000000</v>
      </c>
      <c r="K235" s="53">
        <f t="shared" si="75"/>
        <v>286.50421877462145</v>
      </c>
      <c r="L235" s="53">
        <v>0</v>
      </c>
      <c r="M235" s="53"/>
      <c r="N235" s="53">
        <v>0</v>
      </c>
      <c r="O235" s="53">
        <f t="shared" si="72"/>
        <v>0</v>
      </c>
      <c r="P235" s="53">
        <v>0</v>
      </c>
      <c r="Q235" s="53">
        <v>0</v>
      </c>
      <c r="R235" s="53">
        <v>0</v>
      </c>
      <c r="S235" s="53">
        <v>0</v>
      </c>
      <c r="T235" s="53">
        <v>0</v>
      </c>
      <c r="U235" s="53">
        <v>0</v>
      </c>
      <c r="V235" s="114">
        <f t="shared" si="73"/>
        <v>2000000</v>
      </c>
      <c r="W235" s="71">
        <v>2017</v>
      </c>
      <c r="X235" s="71">
        <v>2017</v>
      </c>
      <c r="Y235" s="198" t="s">
        <v>356</v>
      </c>
      <c r="Z235" s="179">
        <v>5</v>
      </c>
      <c r="AB235" s="143">
        <v>928.66</v>
      </c>
    </row>
    <row r="236" spans="1:29" s="24" customFormat="1" ht="16.5" customHeight="1">
      <c r="A236" s="51">
        <f t="shared" si="74"/>
        <v>206</v>
      </c>
      <c r="B236" s="189" t="s">
        <v>371</v>
      </c>
      <c r="C236" s="191">
        <v>1958</v>
      </c>
      <c r="D236" s="194">
        <v>2773.9</v>
      </c>
      <c r="E236" s="194">
        <v>2534.1999999999998</v>
      </c>
      <c r="F236" s="54">
        <f t="shared" si="71"/>
        <v>600000</v>
      </c>
      <c r="G236" s="204">
        <v>600000</v>
      </c>
      <c r="H236" s="53">
        <f t="shared" si="76"/>
        <v>236.76110804198566</v>
      </c>
      <c r="I236" s="53">
        <v>0</v>
      </c>
      <c r="J236" s="53">
        <v>0</v>
      </c>
      <c r="K236" s="53">
        <f t="shared" si="75"/>
        <v>0</v>
      </c>
      <c r="L236" s="53">
        <v>0</v>
      </c>
      <c r="M236" s="53"/>
      <c r="N236" s="53">
        <v>0</v>
      </c>
      <c r="O236" s="53">
        <f t="shared" si="72"/>
        <v>0</v>
      </c>
      <c r="P236" s="53">
        <v>0</v>
      </c>
      <c r="Q236" s="53">
        <v>0</v>
      </c>
      <c r="R236" s="53">
        <v>0</v>
      </c>
      <c r="S236" s="53">
        <v>0</v>
      </c>
      <c r="T236" s="53">
        <v>0</v>
      </c>
      <c r="U236" s="53">
        <v>0</v>
      </c>
      <c r="V236" s="114">
        <f t="shared" si="73"/>
        <v>600000</v>
      </c>
      <c r="W236" s="71">
        <v>2017</v>
      </c>
      <c r="X236" s="71">
        <v>2017</v>
      </c>
      <c r="Y236" s="198" t="s">
        <v>155</v>
      </c>
      <c r="Z236" s="179">
        <v>4</v>
      </c>
      <c r="AA236" s="143">
        <f>(518.04+215)/2</f>
        <v>366.52</v>
      </c>
    </row>
    <row r="237" spans="1:29" s="24" customFormat="1" ht="16.5" customHeight="1">
      <c r="A237" s="51">
        <f t="shared" si="74"/>
        <v>207</v>
      </c>
      <c r="B237" s="189" t="s">
        <v>350</v>
      </c>
      <c r="C237" s="191">
        <v>1972</v>
      </c>
      <c r="D237" s="194">
        <v>4528</v>
      </c>
      <c r="E237" s="194">
        <v>4203.8999999999996</v>
      </c>
      <c r="F237" s="54">
        <f t="shared" si="71"/>
        <v>700000</v>
      </c>
      <c r="G237" s="204">
        <v>700000</v>
      </c>
      <c r="H237" s="53">
        <f t="shared" si="76"/>
        <v>166.51204833606891</v>
      </c>
      <c r="I237" s="53">
        <v>0</v>
      </c>
      <c r="J237" s="53">
        <v>0</v>
      </c>
      <c r="K237" s="53">
        <f t="shared" si="75"/>
        <v>0</v>
      </c>
      <c r="L237" s="53">
        <v>0</v>
      </c>
      <c r="M237" s="53"/>
      <c r="N237" s="53">
        <v>0</v>
      </c>
      <c r="O237" s="53">
        <f t="shared" si="72"/>
        <v>0</v>
      </c>
      <c r="P237" s="53">
        <v>0</v>
      </c>
      <c r="Q237" s="53">
        <v>0</v>
      </c>
      <c r="R237" s="53">
        <v>0</v>
      </c>
      <c r="S237" s="53">
        <v>0</v>
      </c>
      <c r="T237" s="53">
        <v>0</v>
      </c>
      <c r="U237" s="53">
        <v>0</v>
      </c>
      <c r="V237" s="114">
        <f t="shared" si="73"/>
        <v>700000</v>
      </c>
      <c r="W237" s="71">
        <v>2017</v>
      </c>
      <c r="X237" s="71">
        <v>2017</v>
      </c>
      <c r="Y237" s="198" t="s">
        <v>155</v>
      </c>
      <c r="Z237" s="179">
        <v>5</v>
      </c>
      <c r="AA237" s="143">
        <f>(518.04+215)/2</f>
        <v>366.52</v>
      </c>
    </row>
    <row r="238" spans="1:29" s="24" customFormat="1" ht="16.5" customHeight="1">
      <c r="A238" s="51">
        <f t="shared" si="74"/>
        <v>208</v>
      </c>
      <c r="B238" s="189" t="s">
        <v>351</v>
      </c>
      <c r="C238" s="191">
        <v>1972</v>
      </c>
      <c r="D238" s="194">
        <v>4349.8999999999996</v>
      </c>
      <c r="E238" s="194">
        <v>3995.7</v>
      </c>
      <c r="F238" s="54">
        <f t="shared" si="71"/>
        <v>900000</v>
      </c>
      <c r="G238" s="204">
        <v>900000</v>
      </c>
      <c r="H238" s="53">
        <f t="shared" si="76"/>
        <v>225.24213529544261</v>
      </c>
      <c r="I238" s="53">
        <v>0</v>
      </c>
      <c r="J238" s="53">
        <v>0</v>
      </c>
      <c r="K238" s="53">
        <f t="shared" si="75"/>
        <v>0</v>
      </c>
      <c r="L238" s="53">
        <v>0</v>
      </c>
      <c r="M238" s="53"/>
      <c r="N238" s="53">
        <v>0</v>
      </c>
      <c r="O238" s="53">
        <f t="shared" si="72"/>
        <v>0</v>
      </c>
      <c r="P238" s="53">
        <v>0</v>
      </c>
      <c r="Q238" s="53">
        <v>0</v>
      </c>
      <c r="R238" s="53">
        <v>0</v>
      </c>
      <c r="S238" s="53">
        <v>0</v>
      </c>
      <c r="T238" s="53">
        <v>0</v>
      </c>
      <c r="U238" s="53">
        <v>0</v>
      </c>
      <c r="V238" s="114">
        <f t="shared" si="73"/>
        <v>900000</v>
      </c>
      <c r="W238" s="71">
        <v>2017</v>
      </c>
      <c r="X238" s="71">
        <v>2017</v>
      </c>
      <c r="Y238" s="198" t="s">
        <v>357</v>
      </c>
      <c r="Z238" s="179">
        <v>5</v>
      </c>
      <c r="AA238" s="205">
        <f>(495.29+205.56)/2</f>
        <v>350.42500000000001</v>
      </c>
    </row>
    <row r="239" spans="1:29" s="24" customFormat="1" ht="16.5" customHeight="1">
      <c r="A239" s="51">
        <f t="shared" si="74"/>
        <v>209</v>
      </c>
      <c r="B239" s="189" t="s">
        <v>127</v>
      </c>
      <c r="C239" s="191">
        <v>1988</v>
      </c>
      <c r="D239" s="194">
        <v>5635.6</v>
      </c>
      <c r="E239" s="194">
        <v>4965.2</v>
      </c>
      <c r="F239" s="54">
        <f t="shared" si="71"/>
        <v>600000</v>
      </c>
      <c r="G239" s="204">
        <v>600000</v>
      </c>
      <c r="H239" s="53">
        <f t="shared" si="76"/>
        <v>120.84105373398856</v>
      </c>
      <c r="I239" s="53">
        <v>0</v>
      </c>
      <c r="J239" s="53">
        <v>0</v>
      </c>
      <c r="K239" s="53">
        <f t="shared" si="75"/>
        <v>0</v>
      </c>
      <c r="L239" s="53">
        <v>0</v>
      </c>
      <c r="M239" s="53"/>
      <c r="N239" s="53">
        <v>0</v>
      </c>
      <c r="O239" s="53">
        <f t="shared" si="72"/>
        <v>0</v>
      </c>
      <c r="P239" s="53">
        <v>0</v>
      </c>
      <c r="Q239" s="53">
        <v>0</v>
      </c>
      <c r="R239" s="53">
        <v>0</v>
      </c>
      <c r="S239" s="53">
        <v>0</v>
      </c>
      <c r="T239" s="53">
        <v>0</v>
      </c>
      <c r="U239" s="53">
        <v>0</v>
      </c>
      <c r="V239" s="114">
        <f t="shared" si="73"/>
        <v>600000</v>
      </c>
      <c r="W239" s="71">
        <v>2017</v>
      </c>
      <c r="X239" s="71">
        <v>2017</v>
      </c>
      <c r="Y239" s="198" t="s">
        <v>356</v>
      </c>
      <c r="Z239" s="179">
        <v>5</v>
      </c>
      <c r="AA239" s="205">
        <f>(495.29+205.56)/2</f>
        <v>350.42500000000001</v>
      </c>
    </row>
    <row r="240" spans="1:29" s="24" customFormat="1" ht="16.5" customHeight="1">
      <c r="A240" s="51">
        <f t="shared" si="74"/>
        <v>210</v>
      </c>
      <c r="B240" s="189" t="s">
        <v>352</v>
      </c>
      <c r="C240" s="191">
        <v>1981</v>
      </c>
      <c r="D240" s="194">
        <v>14067.3</v>
      </c>
      <c r="E240" s="194">
        <v>12346</v>
      </c>
      <c r="F240" s="54">
        <f t="shared" si="71"/>
        <v>700000</v>
      </c>
      <c r="G240" s="204">
        <v>700000</v>
      </c>
      <c r="H240" s="53">
        <f t="shared" si="76"/>
        <v>56.698525838328202</v>
      </c>
      <c r="I240" s="53">
        <v>0</v>
      </c>
      <c r="J240" s="53">
        <v>0</v>
      </c>
      <c r="K240" s="53">
        <f t="shared" si="75"/>
        <v>0</v>
      </c>
      <c r="L240" s="53">
        <v>0</v>
      </c>
      <c r="M240" s="53"/>
      <c r="N240" s="53">
        <v>0</v>
      </c>
      <c r="O240" s="53">
        <f t="shared" si="72"/>
        <v>0</v>
      </c>
      <c r="P240" s="53">
        <v>0</v>
      </c>
      <c r="Q240" s="53">
        <v>0</v>
      </c>
      <c r="R240" s="53">
        <v>0</v>
      </c>
      <c r="S240" s="53">
        <v>0</v>
      </c>
      <c r="T240" s="53">
        <v>0</v>
      </c>
      <c r="U240" s="53">
        <v>0</v>
      </c>
      <c r="V240" s="114">
        <f t="shared" si="73"/>
        <v>700000</v>
      </c>
      <c r="W240" s="71">
        <v>2017</v>
      </c>
      <c r="X240" s="71">
        <v>2017</v>
      </c>
      <c r="Y240" s="198" t="s">
        <v>357</v>
      </c>
      <c r="Z240" s="179">
        <v>9</v>
      </c>
      <c r="AA240" s="205">
        <f>(495.29+205.56)/2</f>
        <v>350.42500000000001</v>
      </c>
    </row>
    <row r="241" spans="1:27" s="24" customFormat="1" ht="16.5" customHeight="1">
      <c r="A241" s="51">
        <f t="shared" si="74"/>
        <v>211</v>
      </c>
      <c r="B241" s="189" t="s">
        <v>55</v>
      </c>
      <c r="C241" s="191">
        <v>1956</v>
      </c>
      <c r="D241" s="194">
        <v>8299.7000000000007</v>
      </c>
      <c r="E241" s="194">
        <v>7630.3</v>
      </c>
      <c r="F241" s="54">
        <f t="shared" si="71"/>
        <v>600000</v>
      </c>
      <c r="G241" s="204">
        <v>600000</v>
      </c>
      <c r="H241" s="53">
        <f t="shared" si="76"/>
        <v>78.633867606778239</v>
      </c>
      <c r="I241" s="53">
        <v>0</v>
      </c>
      <c r="J241" s="53">
        <v>0</v>
      </c>
      <c r="K241" s="53">
        <f t="shared" si="75"/>
        <v>0</v>
      </c>
      <c r="L241" s="53">
        <v>0</v>
      </c>
      <c r="M241" s="53"/>
      <c r="N241" s="53">
        <v>0</v>
      </c>
      <c r="O241" s="53">
        <f t="shared" si="72"/>
        <v>0</v>
      </c>
      <c r="P241" s="53">
        <v>0</v>
      </c>
      <c r="Q241" s="53">
        <v>0</v>
      </c>
      <c r="R241" s="53">
        <v>0</v>
      </c>
      <c r="S241" s="53">
        <v>0</v>
      </c>
      <c r="T241" s="53">
        <v>0</v>
      </c>
      <c r="U241" s="53">
        <v>0</v>
      </c>
      <c r="V241" s="114">
        <f t="shared" si="73"/>
        <v>600000</v>
      </c>
      <c r="W241" s="71">
        <v>2017</v>
      </c>
      <c r="X241" s="71">
        <v>2017</v>
      </c>
      <c r="Y241" s="198" t="s">
        <v>155</v>
      </c>
      <c r="Z241" s="179">
        <v>4</v>
      </c>
      <c r="AA241" s="143">
        <f>(518.04+215)/2</f>
        <v>366.52</v>
      </c>
    </row>
    <row r="242" spans="1:27" s="24" customFormat="1" ht="16.5" customHeight="1">
      <c r="A242" s="51">
        <f t="shared" si="74"/>
        <v>212</v>
      </c>
      <c r="B242" s="189" t="s">
        <v>353</v>
      </c>
      <c r="C242" s="191">
        <v>1979</v>
      </c>
      <c r="D242" s="194">
        <v>7732.7</v>
      </c>
      <c r="E242" s="194">
        <v>6753.5</v>
      </c>
      <c r="F242" s="54">
        <f t="shared" si="71"/>
        <v>1000000</v>
      </c>
      <c r="G242" s="204">
        <v>1000000</v>
      </c>
      <c r="H242" s="53">
        <f t="shared" si="76"/>
        <v>148.07137040053306</v>
      </c>
      <c r="I242" s="53">
        <v>0</v>
      </c>
      <c r="J242" s="53">
        <v>0</v>
      </c>
      <c r="K242" s="53">
        <f t="shared" si="75"/>
        <v>0</v>
      </c>
      <c r="L242" s="53">
        <v>0</v>
      </c>
      <c r="M242" s="53"/>
      <c r="N242" s="53">
        <v>0</v>
      </c>
      <c r="O242" s="53">
        <f t="shared" si="72"/>
        <v>0</v>
      </c>
      <c r="P242" s="53">
        <v>0</v>
      </c>
      <c r="Q242" s="53">
        <v>0</v>
      </c>
      <c r="R242" s="53">
        <v>0</v>
      </c>
      <c r="S242" s="53">
        <v>0</v>
      </c>
      <c r="T242" s="53">
        <v>0</v>
      </c>
      <c r="U242" s="53">
        <v>0</v>
      </c>
      <c r="V242" s="114">
        <f t="shared" si="73"/>
        <v>1000000</v>
      </c>
      <c r="W242" s="71">
        <v>2017</v>
      </c>
      <c r="X242" s="71">
        <v>2017</v>
      </c>
      <c r="Y242" s="198" t="s">
        <v>356</v>
      </c>
      <c r="Z242" s="179">
        <v>9</v>
      </c>
      <c r="AA242" s="205">
        <f>(495.29+205.56)/2</f>
        <v>350.42500000000001</v>
      </c>
    </row>
    <row r="243" spans="1:27" s="24" customFormat="1" ht="16.5" customHeight="1">
      <c r="A243" s="51">
        <f t="shared" si="74"/>
        <v>213</v>
      </c>
      <c r="B243" s="190" t="s">
        <v>354</v>
      </c>
      <c r="C243" s="191">
        <v>1981</v>
      </c>
      <c r="D243" s="194">
        <v>6309</v>
      </c>
      <c r="E243" s="194">
        <v>5541.1</v>
      </c>
      <c r="F243" s="54">
        <f t="shared" si="71"/>
        <v>500000</v>
      </c>
      <c r="G243" s="204">
        <v>500000</v>
      </c>
      <c r="H243" s="53">
        <f t="shared" si="76"/>
        <v>90.234790925989415</v>
      </c>
      <c r="I243" s="53">
        <v>0</v>
      </c>
      <c r="J243" s="53">
        <v>0</v>
      </c>
      <c r="K243" s="53">
        <f t="shared" si="75"/>
        <v>0</v>
      </c>
      <c r="L243" s="53">
        <v>0</v>
      </c>
      <c r="M243" s="53"/>
      <c r="N243" s="53">
        <v>0</v>
      </c>
      <c r="O243" s="53">
        <f t="shared" si="72"/>
        <v>0</v>
      </c>
      <c r="P243" s="53">
        <v>0</v>
      </c>
      <c r="Q243" s="53">
        <v>0</v>
      </c>
      <c r="R243" s="53">
        <v>0</v>
      </c>
      <c r="S243" s="53">
        <v>0</v>
      </c>
      <c r="T243" s="53">
        <v>0</v>
      </c>
      <c r="U243" s="53">
        <v>0</v>
      </c>
      <c r="V243" s="114">
        <f t="shared" si="73"/>
        <v>500000</v>
      </c>
      <c r="W243" s="71">
        <v>2017</v>
      </c>
      <c r="X243" s="71">
        <v>2017</v>
      </c>
      <c r="Y243" s="198" t="s">
        <v>356</v>
      </c>
      <c r="Z243" s="179">
        <v>5</v>
      </c>
      <c r="AA243" s="205">
        <f>(495.29+205.56)/2</f>
        <v>350.42500000000001</v>
      </c>
    </row>
    <row r="244" spans="1:27" s="24" customFormat="1" ht="16.5" customHeight="1">
      <c r="A244" s="51">
        <f t="shared" si="74"/>
        <v>214</v>
      </c>
      <c r="B244" s="189" t="s">
        <v>128</v>
      </c>
      <c r="C244" s="191">
        <v>1969</v>
      </c>
      <c r="D244" s="194">
        <v>4451.8999999999996</v>
      </c>
      <c r="E244" s="194">
        <v>4160.2</v>
      </c>
      <c r="F244" s="54">
        <f t="shared" si="71"/>
        <v>1000000</v>
      </c>
      <c r="G244" s="204">
        <v>1000000</v>
      </c>
      <c r="H244" s="53">
        <f t="shared" si="76"/>
        <v>240.37305898754869</v>
      </c>
      <c r="I244" s="53">
        <v>0</v>
      </c>
      <c r="J244" s="53">
        <v>0</v>
      </c>
      <c r="K244" s="53">
        <f t="shared" si="75"/>
        <v>0</v>
      </c>
      <c r="L244" s="53">
        <v>0</v>
      </c>
      <c r="M244" s="53"/>
      <c r="N244" s="53">
        <v>0</v>
      </c>
      <c r="O244" s="53">
        <f t="shared" si="72"/>
        <v>0</v>
      </c>
      <c r="P244" s="53">
        <v>0</v>
      </c>
      <c r="Q244" s="53"/>
      <c r="R244" s="53">
        <v>0</v>
      </c>
      <c r="S244" s="53">
        <v>0</v>
      </c>
      <c r="T244" s="53">
        <v>0</v>
      </c>
      <c r="U244" s="53">
        <v>0</v>
      </c>
      <c r="V244" s="114">
        <f t="shared" si="73"/>
        <v>1000000</v>
      </c>
      <c r="W244" s="71">
        <v>2017</v>
      </c>
      <c r="X244" s="71">
        <v>2017</v>
      </c>
      <c r="Y244" s="198" t="s">
        <v>155</v>
      </c>
      <c r="Z244" s="179">
        <v>6</v>
      </c>
      <c r="AA244" s="143">
        <f>(518.04+215)/2</f>
        <v>366.52</v>
      </c>
    </row>
    <row r="245" spans="1:27" s="24" customFormat="1" ht="16.5" customHeight="1">
      <c r="A245" s="51">
        <f t="shared" si="74"/>
        <v>215</v>
      </c>
      <c r="B245" s="189" t="s">
        <v>355</v>
      </c>
      <c r="C245" s="191">
        <v>1982</v>
      </c>
      <c r="D245" s="194">
        <v>2380.1</v>
      </c>
      <c r="E245" s="194">
        <v>2087.9</v>
      </c>
      <c r="F245" s="54">
        <f t="shared" si="71"/>
        <v>1938949.21</v>
      </c>
      <c r="G245" s="53">
        <v>0</v>
      </c>
      <c r="H245" s="53">
        <f t="shared" si="76"/>
        <v>0</v>
      </c>
      <c r="I245" s="53">
        <v>0</v>
      </c>
      <c r="J245" s="204">
        <f>ROUND(928.66*E245,2)</f>
        <v>1938949.21</v>
      </c>
      <c r="K245" s="53">
        <f t="shared" si="75"/>
        <v>928.6599980841994</v>
      </c>
      <c r="L245" s="53">
        <v>0</v>
      </c>
      <c r="M245" s="53"/>
      <c r="N245" s="53">
        <v>0</v>
      </c>
      <c r="O245" s="53">
        <f t="shared" si="72"/>
        <v>0</v>
      </c>
      <c r="P245" s="53">
        <v>0</v>
      </c>
      <c r="Q245" s="53"/>
      <c r="R245" s="53">
        <v>0</v>
      </c>
      <c r="S245" s="53">
        <v>0</v>
      </c>
      <c r="T245" s="53">
        <v>0</v>
      </c>
      <c r="U245" s="53">
        <v>0</v>
      </c>
      <c r="V245" s="114">
        <f t="shared" si="73"/>
        <v>1938949.21</v>
      </c>
      <c r="W245" s="71">
        <v>2017</v>
      </c>
      <c r="X245" s="71">
        <v>2017</v>
      </c>
      <c r="Y245" s="198" t="s">
        <v>356</v>
      </c>
      <c r="Z245" s="179">
        <v>5</v>
      </c>
    </row>
    <row r="246" spans="1:27" s="24" customFormat="1" ht="16.5" customHeight="1">
      <c r="A246" s="51">
        <f t="shared" si="74"/>
        <v>216</v>
      </c>
      <c r="B246" s="189" t="s">
        <v>436</v>
      </c>
      <c r="C246" s="191">
        <v>1977</v>
      </c>
      <c r="D246" s="194">
        <v>2517.9</v>
      </c>
      <c r="E246" s="194">
        <v>2225.6999999999998</v>
      </c>
      <c r="F246" s="54">
        <f t="shared" si="71"/>
        <v>2066918.56</v>
      </c>
      <c r="G246" s="53">
        <v>0</v>
      </c>
      <c r="H246" s="53">
        <f t="shared" si="76"/>
        <v>0</v>
      </c>
      <c r="I246" s="53">
        <v>0</v>
      </c>
      <c r="J246" s="204">
        <f>ROUND(928.66*E246,2)</f>
        <v>2066918.56</v>
      </c>
      <c r="K246" s="53">
        <f t="shared" si="75"/>
        <v>928.65999910140636</v>
      </c>
      <c r="L246" s="53">
        <v>0</v>
      </c>
      <c r="M246" s="53"/>
      <c r="N246" s="53">
        <v>0</v>
      </c>
      <c r="O246" s="53">
        <f t="shared" si="72"/>
        <v>0</v>
      </c>
      <c r="P246" s="53">
        <v>0</v>
      </c>
      <c r="Q246" s="53"/>
      <c r="R246" s="53">
        <v>0</v>
      </c>
      <c r="S246" s="53">
        <v>0</v>
      </c>
      <c r="T246" s="53">
        <v>0</v>
      </c>
      <c r="U246" s="53">
        <v>0</v>
      </c>
      <c r="V246" s="114">
        <f t="shared" si="73"/>
        <v>2066918.56</v>
      </c>
      <c r="W246" s="71">
        <v>2017</v>
      </c>
      <c r="X246" s="71">
        <v>2017</v>
      </c>
      <c r="Y246" s="198" t="s">
        <v>356</v>
      </c>
      <c r="Z246" s="201" t="s">
        <v>358</v>
      </c>
    </row>
    <row r="247" spans="1:27" s="24" customFormat="1" ht="16.5" customHeight="1">
      <c r="A247" s="51">
        <f t="shared" si="74"/>
        <v>217</v>
      </c>
      <c r="B247" s="189" t="s">
        <v>437</v>
      </c>
      <c r="C247" s="191">
        <v>1985</v>
      </c>
      <c r="D247" s="195">
        <v>2349.3000000000002</v>
      </c>
      <c r="E247" s="195">
        <v>2056.5</v>
      </c>
      <c r="F247" s="54">
        <f t="shared" si="71"/>
        <v>1909789.29</v>
      </c>
      <c r="G247" s="53">
        <v>0</v>
      </c>
      <c r="H247" s="53">
        <f t="shared" si="76"/>
        <v>0</v>
      </c>
      <c r="I247" s="53">
        <v>0</v>
      </c>
      <c r="J247" s="204">
        <f>ROUND(928.66*E247,2)</f>
        <v>1909789.29</v>
      </c>
      <c r="K247" s="53">
        <f t="shared" si="75"/>
        <v>928.66</v>
      </c>
      <c r="L247" s="53">
        <v>0</v>
      </c>
      <c r="M247" s="53"/>
      <c r="N247" s="53">
        <v>0</v>
      </c>
      <c r="O247" s="53">
        <f t="shared" si="72"/>
        <v>0</v>
      </c>
      <c r="P247" s="53">
        <v>0</v>
      </c>
      <c r="Q247" s="53"/>
      <c r="R247" s="53">
        <v>0</v>
      </c>
      <c r="S247" s="53">
        <v>0</v>
      </c>
      <c r="T247" s="53">
        <v>0</v>
      </c>
      <c r="U247" s="53">
        <v>0</v>
      </c>
      <c r="V247" s="114">
        <f t="shared" si="73"/>
        <v>1909789.29</v>
      </c>
      <c r="W247" s="71">
        <v>2017</v>
      </c>
      <c r="X247" s="71">
        <v>2017</v>
      </c>
      <c r="Y247" s="198" t="s">
        <v>356</v>
      </c>
      <c r="Z247" s="202">
        <v>5</v>
      </c>
    </row>
    <row r="248" spans="1:27" s="24" customFormat="1" ht="16.5" customHeight="1">
      <c r="A248" s="51">
        <f t="shared" si="74"/>
        <v>218</v>
      </c>
      <c r="B248" s="189" t="s">
        <v>438</v>
      </c>
      <c r="C248" s="191">
        <v>1989</v>
      </c>
      <c r="D248" s="195">
        <v>948.4</v>
      </c>
      <c r="E248" s="195">
        <v>856.7</v>
      </c>
      <c r="F248" s="54">
        <f t="shared" si="71"/>
        <v>795583.02</v>
      </c>
      <c r="G248" s="53">
        <v>0</v>
      </c>
      <c r="H248" s="53">
        <f t="shared" si="76"/>
        <v>0</v>
      </c>
      <c r="I248" s="53">
        <v>0</v>
      </c>
      <c r="J248" s="204">
        <f>ROUND(928.66*E248,2)</f>
        <v>795583.02</v>
      </c>
      <c r="K248" s="53">
        <f t="shared" si="75"/>
        <v>928.65999766546042</v>
      </c>
      <c r="L248" s="53">
        <v>0</v>
      </c>
      <c r="M248" s="53"/>
      <c r="N248" s="53">
        <v>0</v>
      </c>
      <c r="O248" s="53">
        <f t="shared" si="72"/>
        <v>0</v>
      </c>
      <c r="P248" s="53">
        <v>0</v>
      </c>
      <c r="Q248" s="53"/>
      <c r="R248" s="53">
        <v>0</v>
      </c>
      <c r="S248" s="53">
        <v>0</v>
      </c>
      <c r="T248" s="53">
        <v>0</v>
      </c>
      <c r="U248" s="53">
        <v>0</v>
      </c>
      <c r="V248" s="114">
        <f t="shared" si="73"/>
        <v>795583.02</v>
      </c>
      <c r="W248" s="71">
        <v>2017</v>
      </c>
      <c r="X248" s="71">
        <v>2017</v>
      </c>
      <c r="Y248" s="198" t="s">
        <v>356</v>
      </c>
      <c r="Z248" s="203">
        <v>5</v>
      </c>
    </row>
    <row r="249" spans="1:27" s="24" customFormat="1" ht="16.5" customHeight="1">
      <c r="A249" s="51">
        <f t="shared" si="74"/>
        <v>219</v>
      </c>
      <c r="B249" s="189" t="s">
        <v>439</v>
      </c>
      <c r="C249" s="192">
        <v>1987</v>
      </c>
      <c r="D249" s="196">
        <v>3922.2</v>
      </c>
      <c r="E249" s="196">
        <f>3378.6+62.8</f>
        <v>3441.4</v>
      </c>
      <c r="F249" s="54">
        <f t="shared" si="71"/>
        <v>779718</v>
      </c>
      <c r="G249" s="53">
        <v>0</v>
      </c>
      <c r="H249" s="53">
        <f t="shared" si="76"/>
        <v>0</v>
      </c>
      <c r="I249" s="53">
        <v>0</v>
      </c>
      <c r="J249" s="204"/>
      <c r="K249" s="53">
        <f t="shared" si="75"/>
        <v>0</v>
      </c>
      <c r="L249" s="53">
        <v>0</v>
      </c>
      <c r="M249" s="53"/>
      <c r="N249" s="204">
        <f>ROUND(226.57*E249,2)</f>
        <v>779718</v>
      </c>
      <c r="O249" s="53">
        <f t="shared" si="72"/>
        <v>226.57000058115884</v>
      </c>
      <c r="P249" s="53">
        <v>0</v>
      </c>
      <c r="Q249" s="53"/>
      <c r="R249" s="53">
        <v>0</v>
      </c>
      <c r="S249" s="53">
        <v>0</v>
      </c>
      <c r="T249" s="53">
        <v>0</v>
      </c>
      <c r="U249" s="53">
        <v>0</v>
      </c>
      <c r="V249" s="114">
        <f t="shared" si="73"/>
        <v>779718</v>
      </c>
      <c r="W249" s="71">
        <v>2017</v>
      </c>
      <c r="X249" s="71">
        <v>2017</v>
      </c>
      <c r="Y249" s="198" t="s">
        <v>356</v>
      </c>
      <c r="Z249" s="203">
        <v>5</v>
      </c>
    </row>
    <row r="250" spans="1:27" s="24" customFormat="1" ht="16.5" customHeight="1">
      <c r="A250" s="51">
        <f t="shared" si="74"/>
        <v>220</v>
      </c>
      <c r="B250" s="189" t="s">
        <v>329</v>
      </c>
      <c r="C250" s="192">
        <v>1986</v>
      </c>
      <c r="D250" s="196">
        <v>2331.3000000000002</v>
      </c>
      <c r="E250" s="196">
        <v>2041.6</v>
      </c>
      <c r="F250" s="54">
        <f t="shared" si="71"/>
        <v>1895952.26</v>
      </c>
      <c r="G250" s="53">
        <v>0</v>
      </c>
      <c r="H250" s="53">
        <f t="shared" si="76"/>
        <v>0</v>
      </c>
      <c r="I250" s="53">
        <v>0</v>
      </c>
      <c r="J250" s="204">
        <f>ROUND(928.66*E250,2)</f>
        <v>1895952.26</v>
      </c>
      <c r="K250" s="53">
        <f t="shared" si="75"/>
        <v>928.66000195924767</v>
      </c>
      <c r="L250" s="53">
        <v>0</v>
      </c>
      <c r="M250" s="53"/>
      <c r="N250" s="53">
        <v>0</v>
      </c>
      <c r="O250" s="53">
        <f t="shared" si="72"/>
        <v>0</v>
      </c>
      <c r="P250" s="53">
        <v>0</v>
      </c>
      <c r="Q250" s="53">
        <v>0</v>
      </c>
      <c r="R250" s="53">
        <v>0</v>
      </c>
      <c r="S250" s="53">
        <v>0</v>
      </c>
      <c r="T250" s="53">
        <v>0</v>
      </c>
      <c r="U250" s="53">
        <v>0</v>
      </c>
      <c r="V250" s="114">
        <f t="shared" si="73"/>
        <v>1895952.26</v>
      </c>
      <c r="W250" s="71">
        <v>2017</v>
      </c>
      <c r="X250" s="71">
        <v>2017</v>
      </c>
      <c r="Y250" s="198" t="s">
        <v>356</v>
      </c>
      <c r="Z250" s="203">
        <v>5</v>
      </c>
    </row>
    <row r="251" spans="1:27" s="24" customFormat="1" ht="16.5" customHeight="1">
      <c r="A251" s="51">
        <f t="shared" si="74"/>
        <v>221</v>
      </c>
      <c r="B251" s="189" t="s">
        <v>330</v>
      </c>
      <c r="C251" s="193">
        <v>1981</v>
      </c>
      <c r="D251" s="197">
        <v>2377.6</v>
      </c>
      <c r="E251" s="197">
        <v>2086.1999999999998</v>
      </c>
      <c r="F251" s="54">
        <f t="shared" si="71"/>
        <v>472670.33</v>
      </c>
      <c r="G251" s="53">
        <v>0</v>
      </c>
      <c r="H251" s="53">
        <f t="shared" si="76"/>
        <v>0</v>
      </c>
      <c r="I251" s="53">
        <v>0</v>
      </c>
      <c r="J251" s="53">
        <v>0</v>
      </c>
      <c r="K251" s="53">
        <f t="shared" si="75"/>
        <v>0</v>
      </c>
      <c r="L251" s="53">
        <v>0</v>
      </c>
      <c r="M251" s="53"/>
      <c r="N251" s="204">
        <f>ROUND(226.57*E251,2)</f>
        <v>472670.33</v>
      </c>
      <c r="O251" s="53">
        <f t="shared" si="72"/>
        <v>226.56999808263831</v>
      </c>
      <c r="P251" s="53">
        <v>0</v>
      </c>
      <c r="Q251" s="53">
        <v>0</v>
      </c>
      <c r="R251" s="53">
        <v>0</v>
      </c>
      <c r="S251" s="53">
        <v>0</v>
      </c>
      <c r="T251" s="53">
        <v>0</v>
      </c>
      <c r="U251" s="53">
        <v>0</v>
      </c>
      <c r="V251" s="114">
        <f t="shared" si="73"/>
        <v>472670.33</v>
      </c>
      <c r="W251" s="71">
        <v>2017</v>
      </c>
      <c r="X251" s="71">
        <v>2017</v>
      </c>
      <c r="Y251" s="198" t="s">
        <v>356</v>
      </c>
      <c r="Z251" s="203">
        <v>5</v>
      </c>
    </row>
    <row r="252" spans="1:27" s="24" customFormat="1" ht="16.5" customHeight="1">
      <c r="A252" s="51">
        <f t="shared" si="74"/>
        <v>222</v>
      </c>
      <c r="B252" s="189" t="s">
        <v>331</v>
      </c>
      <c r="C252" s="193">
        <v>1981</v>
      </c>
      <c r="D252" s="197">
        <v>3972.2</v>
      </c>
      <c r="E252" s="197">
        <v>3485.8</v>
      </c>
      <c r="F252" s="54">
        <f t="shared" si="71"/>
        <v>789777.71</v>
      </c>
      <c r="G252" s="53">
        <v>0</v>
      </c>
      <c r="H252" s="53">
        <f t="shared" si="76"/>
        <v>0</v>
      </c>
      <c r="I252" s="53">
        <v>0</v>
      </c>
      <c r="J252" s="53">
        <v>0</v>
      </c>
      <c r="K252" s="53">
        <f t="shared" si="75"/>
        <v>0</v>
      </c>
      <c r="L252" s="53">
        <v>0</v>
      </c>
      <c r="M252" s="53"/>
      <c r="N252" s="204">
        <f>ROUND(226.57*E252,2)</f>
        <v>789777.71</v>
      </c>
      <c r="O252" s="53">
        <f t="shared" si="72"/>
        <v>226.57000114751276</v>
      </c>
      <c r="P252" s="53">
        <v>0</v>
      </c>
      <c r="Q252" s="53">
        <v>0</v>
      </c>
      <c r="R252" s="53">
        <v>0</v>
      </c>
      <c r="S252" s="53">
        <v>0</v>
      </c>
      <c r="T252" s="53">
        <v>0</v>
      </c>
      <c r="U252" s="53">
        <v>0</v>
      </c>
      <c r="V252" s="114">
        <f t="shared" si="73"/>
        <v>789777.71</v>
      </c>
      <c r="W252" s="71">
        <v>2017</v>
      </c>
      <c r="X252" s="71">
        <v>2017</v>
      </c>
      <c r="Y252" s="198" t="s">
        <v>356</v>
      </c>
      <c r="Z252" s="203">
        <v>5</v>
      </c>
    </row>
    <row r="253" spans="1:27" s="24" customFormat="1" ht="16.5" customHeight="1">
      <c r="A253" s="51">
        <f t="shared" si="74"/>
        <v>223</v>
      </c>
      <c r="B253" s="189" t="s">
        <v>332</v>
      </c>
      <c r="C253" s="193">
        <v>1981</v>
      </c>
      <c r="D253" s="197">
        <v>3948.1</v>
      </c>
      <c r="E253" s="197">
        <v>3462.2</v>
      </c>
      <c r="F253" s="54">
        <f t="shared" si="71"/>
        <v>784430.65</v>
      </c>
      <c r="G253" s="53">
        <v>0</v>
      </c>
      <c r="H253" s="53">
        <f t="shared" si="76"/>
        <v>0</v>
      </c>
      <c r="I253" s="53">
        <v>0</v>
      </c>
      <c r="J253" s="53">
        <v>0</v>
      </c>
      <c r="K253" s="53">
        <f t="shared" si="75"/>
        <v>0</v>
      </c>
      <c r="L253" s="53">
        <v>0</v>
      </c>
      <c r="M253" s="53"/>
      <c r="N253" s="204">
        <f>ROUND(226.57*E253,2)</f>
        <v>784430.65</v>
      </c>
      <c r="O253" s="53">
        <f t="shared" si="72"/>
        <v>226.56999884466526</v>
      </c>
      <c r="P253" s="53">
        <v>0</v>
      </c>
      <c r="Q253" s="53">
        <v>0</v>
      </c>
      <c r="R253" s="53">
        <v>0</v>
      </c>
      <c r="S253" s="53">
        <v>0</v>
      </c>
      <c r="T253" s="53">
        <v>0</v>
      </c>
      <c r="U253" s="53">
        <v>0</v>
      </c>
      <c r="V253" s="114">
        <f t="shared" si="73"/>
        <v>784430.65</v>
      </c>
      <c r="W253" s="71">
        <v>2017</v>
      </c>
      <c r="X253" s="71">
        <v>2017</v>
      </c>
      <c r="Y253" s="198" t="s">
        <v>356</v>
      </c>
      <c r="Z253" s="203">
        <v>5</v>
      </c>
    </row>
    <row r="254" spans="1:27" s="24" customFormat="1" ht="16.5" customHeight="1">
      <c r="A254" s="51">
        <f t="shared" si="74"/>
        <v>224</v>
      </c>
      <c r="B254" s="189" t="s">
        <v>333</v>
      </c>
      <c r="C254" s="193">
        <v>1978</v>
      </c>
      <c r="D254" s="197">
        <v>2560.3000000000002</v>
      </c>
      <c r="E254" s="197">
        <f>2062.3+162.6</f>
        <v>2224.9</v>
      </c>
      <c r="F254" s="54">
        <f t="shared" si="71"/>
        <v>467255.31</v>
      </c>
      <c r="G254" s="53">
        <v>0</v>
      </c>
      <c r="H254" s="53">
        <f t="shared" si="76"/>
        <v>0</v>
      </c>
      <c r="I254" s="53">
        <v>0</v>
      </c>
      <c r="J254" s="53">
        <v>0</v>
      </c>
      <c r="K254" s="53">
        <f t="shared" si="75"/>
        <v>0</v>
      </c>
      <c r="L254" s="53">
        <v>0</v>
      </c>
      <c r="M254" s="53"/>
      <c r="N254" s="204">
        <v>467255.31</v>
      </c>
      <c r="O254" s="53">
        <f t="shared" si="72"/>
        <v>210.01182525057305</v>
      </c>
      <c r="P254" s="53">
        <v>0</v>
      </c>
      <c r="Q254" s="53">
        <v>0</v>
      </c>
      <c r="R254" s="53">
        <v>0</v>
      </c>
      <c r="S254" s="53">
        <v>0</v>
      </c>
      <c r="T254" s="53">
        <v>0</v>
      </c>
      <c r="U254" s="53">
        <v>0</v>
      </c>
      <c r="V254" s="114">
        <f t="shared" si="73"/>
        <v>467255.31</v>
      </c>
      <c r="W254" s="71">
        <v>2017</v>
      </c>
      <c r="X254" s="71">
        <v>2017</v>
      </c>
      <c r="Y254" s="198" t="s">
        <v>356</v>
      </c>
      <c r="Z254" s="203">
        <v>5</v>
      </c>
    </row>
    <row r="255" spans="1:27" s="24" customFormat="1" ht="16.5" customHeight="1">
      <c r="A255" s="51">
        <f t="shared" si="74"/>
        <v>225</v>
      </c>
      <c r="B255" s="189" t="s">
        <v>334</v>
      </c>
      <c r="C255" s="193">
        <v>1978</v>
      </c>
      <c r="D255" s="197">
        <v>2345</v>
      </c>
      <c r="E255" s="197">
        <v>2057.8000000000002</v>
      </c>
      <c r="F255" s="54">
        <f t="shared" si="71"/>
        <v>466235.75</v>
      </c>
      <c r="G255" s="53">
        <v>0</v>
      </c>
      <c r="H255" s="53">
        <f t="shared" si="76"/>
        <v>0</v>
      </c>
      <c r="I255" s="53">
        <v>0</v>
      </c>
      <c r="J255" s="53">
        <v>0</v>
      </c>
      <c r="K255" s="53">
        <f t="shared" si="75"/>
        <v>0</v>
      </c>
      <c r="L255" s="53">
        <v>0</v>
      </c>
      <c r="M255" s="53"/>
      <c r="N255" s="204">
        <f>ROUND(226.57*E255,2)</f>
        <v>466235.75</v>
      </c>
      <c r="O255" s="53">
        <f t="shared" si="72"/>
        <v>226.57000194382348</v>
      </c>
      <c r="P255" s="53">
        <v>0</v>
      </c>
      <c r="Q255" s="53">
        <v>0</v>
      </c>
      <c r="R255" s="53">
        <v>0</v>
      </c>
      <c r="S255" s="53">
        <v>0</v>
      </c>
      <c r="T255" s="53">
        <v>0</v>
      </c>
      <c r="U255" s="53">
        <v>0</v>
      </c>
      <c r="V255" s="114">
        <f t="shared" si="73"/>
        <v>466235.75</v>
      </c>
      <c r="W255" s="71">
        <v>2017</v>
      </c>
      <c r="X255" s="71">
        <v>2017</v>
      </c>
      <c r="Y255" s="198" t="s">
        <v>356</v>
      </c>
      <c r="Z255" s="203">
        <v>5</v>
      </c>
    </row>
    <row r="256" spans="1:27" s="24" customFormat="1" ht="16.5" customHeight="1">
      <c r="A256" s="51">
        <f t="shared" si="74"/>
        <v>226</v>
      </c>
      <c r="B256" s="189" t="s">
        <v>335</v>
      </c>
      <c r="C256" s="193">
        <v>1993</v>
      </c>
      <c r="D256" s="197">
        <v>3467.4</v>
      </c>
      <c r="E256" s="197">
        <f>2708.1+161.8</f>
        <v>2869.9</v>
      </c>
      <c r="F256" s="54">
        <f t="shared" si="71"/>
        <v>650233.24</v>
      </c>
      <c r="G256" s="53">
        <v>0</v>
      </c>
      <c r="H256" s="53">
        <f>G256/E256</f>
        <v>0</v>
      </c>
      <c r="I256" s="53">
        <v>0</v>
      </c>
      <c r="J256" s="53">
        <v>0</v>
      </c>
      <c r="K256" s="53">
        <f t="shared" si="75"/>
        <v>0</v>
      </c>
      <c r="L256" s="53">
        <v>0</v>
      </c>
      <c r="M256" s="53"/>
      <c r="N256" s="204">
        <f>ROUND(226.57*E256,2)</f>
        <v>650233.24</v>
      </c>
      <c r="O256" s="53">
        <f t="shared" si="72"/>
        <v>226.5699989546674</v>
      </c>
      <c r="P256" s="53">
        <v>0</v>
      </c>
      <c r="Q256" s="53"/>
      <c r="R256" s="53">
        <v>0</v>
      </c>
      <c r="S256" s="53">
        <v>0</v>
      </c>
      <c r="T256" s="53">
        <v>0</v>
      </c>
      <c r="U256" s="53">
        <v>0</v>
      </c>
      <c r="V256" s="114">
        <f t="shared" si="73"/>
        <v>650233.24</v>
      </c>
      <c r="W256" s="71">
        <v>2017</v>
      </c>
      <c r="X256" s="71">
        <v>2017</v>
      </c>
      <c r="Y256" s="198" t="s">
        <v>356</v>
      </c>
      <c r="Z256" s="203">
        <v>5</v>
      </c>
    </row>
    <row r="257" spans="1:28" s="24" customFormat="1" ht="16.5" customHeight="1">
      <c r="A257" s="51">
        <f t="shared" si="74"/>
        <v>227</v>
      </c>
      <c r="B257" s="189" t="s">
        <v>336</v>
      </c>
      <c r="C257" s="193">
        <v>1991</v>
      </c>
      <c r="D257" s="197">
        <v>6432.4</v>
      </c>
      <c r="E257" s="197">
        <v>5529.3</v>
      </c>
      <c r="F257" s="54">
        <f t="shared" si="71"/>
        <v>3216685.47</v>
      </c>
      <c r="G257" s="53">
        <v>0</v>
      </c>
      <c r="H257" s="53">
        <f>G257/E257</f>
        <v>0</v>
      </c>
      <c r="I257" s="53">
        <v>0</v>
      </c>
      <c r="J257" s="204">
        <v>3216685.47</v>
      </c>
      <c r="K257" s="53">
        <f t="shared" si="75"/>
        <v>581.75274808746133</v>
      </c>
      <c r="L257" s="53">
        <v>0</v>
      </c>
      <c r="M257" s="53"/>
      <c r="N257" s="53">
        <v>0</v>
      </c>
      <c r="O257" s="53">
        <f t="shared" si="72"/>
        <v>0</v>
      </c>
      <c r="P257" s="53">
        <v>0</v>
      </c>
      <c r="Q257" s="53"/>
      <c r="R257" s="53">
        <v>0</v>
      </c>
      <c r="S257" s="53">
        <v>0</v>
      </c>
      <c r="T257" s="53">
        <v>0</v>
      </c>
      <c r="U257" s="53">
        <v>0</v>
      </c>
      <c r="V257" s="114">
        <f t="shared" si="73"/>
        <v>3216685.47</v>
      </c>
      <c r="W257" s="71">
        <v>2017</v>
      </c>
      <c r="X257" s="71">
        <v>2017</v>
      </c>
      <c r="Y257" s="198" t="s">
        <v>356</v>
      </c>
      <c r="Z257" s="203">
        <v>9</v>
      </c>
      <c r="AB257" s="143">
        <v>609.38</v>
      </c>
    </row>
    <row r="258" spans="1:28" ht="17.25" customHeight="1">
      <c r="A258" s="352" t="s">
        <v>280</v>
      </c>
      <c r="B258" s="353"/>
      <c r="C258" s="42"/>
      <c r="D258" s="188">
        <f>SUM(D220:D257)</f>
        <v>196212.19999999998</v>
      </c>
      <c r="E258" s="188">
        <f>SUM(E220:E257)</f>
        <v>172756.4</v>
      </c>
      <c r="F258" s="27">
        <f>SUM(F220:F257)</f>
        <v>56764556.327</v>
      </c>
      <c r="G258" s="43">
        <f>SUM(G220:G257)</f>
        <v>15308818.65</v>
      </c>
      <c r="H258" s="43"/>
      <c r="I258" s="28">
        <f>SUM(I220:I257)</f>
        <v>2544152.91</v>
      </c>
      <c r="J258" s="43">
        <f>SUM(J220:J257)</f>
        <v>22242392.59</v>
      </c>
      <c r="K258" s="43"/>
      <c r="L258" s="28">
        <f>SUM(L220:L257)</f>
        <v>0</v>
      </c>
      <c r="M258" s="43"/>
      <c r="N258" s="43">
        <f>SUM(N220:N257)</f>
        <v>16669192.176999999</v>
      </c>
      <c r="O258" s="43"/>
      <c r="P258" s="28">
        <f>SUM(P220:P257)</f>
        <v>0</v>
      </c>
      <c r="Q258" s="28"/>
      <c r="R258" s="28">
        <f>SUM(R220:R257)</f>
        <v>0</v>
      </c>
      <c r="S258" s="28">
        <f>SUM(S220:S257)</f>
        <v>0</v>
      </c>
      <c r="T258" s="28">
        <f>SUM(T220:T257)</f>
        <v>0</v>
      </c>
      <c r="U258" s="28">
        <f>SUM(U220:U257)</f>
        <v>0</v>
      </c>
      <c r="V258" s="110">
        <f>SUM(V220:V257)</f>
        <v>56764556.327</v>
      </c>
      <c r="W258" s="22" t="s">
        <v>117</v>
      </c>
      <c r="X258" s="22" t="s">
        <v>117</v>
      </c>
    </row>
    <row r="259" spans="1:28" ht="17.25" customHeight="1">
      <c r="A259" s="367" t="s">
        <v>62</v>
      </c>
      <c r="B259" s="359"/>
      <c r="C259" s="359"/>
      <c r="D259" s="359"/>
      <c r="E259" s="359"/>
      <c r="F259" s="359"/>
      <c r="G259" s="359"/>
      <c r="H259" s="359"/>
      <c r="I259" s="359"/>
      <c r="J259" s="359"/>
      <c r="K259" s="359"/>
      <c r="L259" s="359"/>
      <c r="M259" s="359"/>
      <c r="N259" s="359"/>
      <c r="O259" s="359"/>
      <c r="P259" s="359"/>
      <c r="Q259" s="359"/>
      <c r="R259" s="359"/>
      <c r="S259" s="359"/>
      <c r="T259" s="359"/>
      <c r="U259" s="359"/>
      <c r="V259" s="368"/>
      <c r="W259" s="38"/>
      <c r="X259" s="38"/>
    </row>
    <row r="260" spans="1:28" ht="17.25" customHeight="1">
      <c r="A260" s="44">
        <f>A257+1</f>
        <v>228</v>
      </c>
      <c r="B260" s="144" t="s">
        <v>277</v>
      </c>
      <c r="C260" s="148">
        <v>1981</v>
      </c>
      <c r="D260" s="146">
        <v>2517.6999999999998</v>
      </c>
      <c r="E260" s="146">
        <v>2032</v>
      </c>
      <c r="F260" s="54">
        <f>G260+I260+J260+L260+N260+P260+R260</f>
        <v>713191.36</v>
      </c>
      <c r="G260" s="53">
        <f>ROUND((145.42+205.56)*E260,2)</f>
        <v>713191.36</v>
      </c>
      <c r="H260" s="53">
        <f>G260/E260</f>
        <v>350.98</v>
      </c>
      <c r="I260" s="53">
        <v>0</v>
      </c>
      <c r="J260" s="45"/>
      <c r="K260" s="53">
        <f>J260/E260</f>
        <v>0</v>
      </c>
      <c r="L260" s="53">
        <v>0</v>
      </c>
      <c r="M260" s="53"/>
      <c r="N260" s="53">
        <v>0</v>
      </c>
      <c r="O260" s="53"/>
      <c r="P260" s="53">
        <v>0</v>
      </c>
      <c r="Q260" s="53"/>
      <c r="R260" s="53">
        <v>0</v>
      </c>
      <c r="S260" s="53">
        <v>0</v>
      </c>
      <c r="T260" s="53">
        <v>0</v>
      </c>
      <c r="U260" s="53">
        <v>0</v>
      </c>
      <c r="V260" s="45">
        <f>F260</f>
        <v>713191.36</v>
      </c>
      <c r="W260" s="71">
        <v>2017</v>
      </c>
      <c r="X260" s="71">
        <v>2017</v>
      </c>
      <c r="Y260" s="135" t="s">
        <v>154</v>
      </c>
      <c r="Z260" s="135">
        <v>5</v>
      </c>
    </row>
    <row r="261" spans="1:28" ht="17.25" customHeight="1">
      <c r="A261" s="44">
        <f>A260+1</f>
        <v>229</v>
      </c>
      <c r="B261" s="144" t="s">
        <v>278</v>
      </c>
      <c r="C261" s="148">
        <v>1987</v>
      </c>
      <c r="D261" s="146">
        <v>3955.7</v>
      </c>
      <c r="E261" s="146">
        <v>2971.1</v>
      </c>
      <c r="F261" s="54">
        <f>G261+I261+J261+L261+N261+P261+R261</f>
        <v>2759141.73</v>
      </c>
      <c r="G261" s="53">
        <v>0</v>
      </c>
      <c r="H261" s="46">
        <f>G261/E261</f>
        <v>0</v>
      </c>
      <c r="I261" s="53">
        <v>0</v>
      </c>
      <c r="J261" s="53">
        <f>ROUND(928.66*E261,2)</f>
        <v>2759141.73</v>
      </c>
      <c r="K261" s="53">
        <f>J261/E261</f>
        <v>928.66000134630269</v>
      </c>
      <c r="L261" s="53">
        <v>0</v>
      </c>
      <c r="M261" s="53"/>
      <c r="N261" s="53">
        <v>0</v>
      </c>
      <c r="O261" s="53"/>
      <c r="P261" s="53">
        <v>0</v>
      </c>
      <c r="Q261" s="53"/>
      <c r="R261" s="53">
        <v>0</v>
      </c>
      <c r="S261" s="53">
        <v>0</v>
      </c>
      <c r="T261" s="53">
        <v>0</v>
      </c>
      <c r="U261" s="53">
        <v>0</v>
      </c>
      <c r="V261" s="45">
        <f>F261</f>
        <v>2759141.73</v>
      </c>
      <c r="W261" s="71">
        <v>2017</v>
      </c>
      <c r="X261" s="71">
        <v>2017</v>
      </c>
      <c r="Y261" s="135" t="s">
        <v>154</v>
      </c>
      <c r="Z261" s="135">
        <v>5</v>
      </c>
    </row>
    <row r="262" spans="1:28" ht="17.25" customHeight="1">
      <c r="A262" s="352" t="s">
        <v>280</v>
      </c>
      <c r="B262" s="353"/>
      <c r="C262" s="42"/>
      <c r="D262" s="110">
        <f>SUM(D260:D261)</f>
        <v>6473.4</v>
      </c>
      <c r="E262" s="110">
        <f>SUM(E260:E261)</f>
        <v>5003.1000000000004</v>
      </c>
      <c r="F262" s="27">
        <f t="shared" ref="F262:V262" si="77">SUM(F260:F261)</f>
        <v>3472333.09</v>
      </c>
      <c r="G262" s="28">
        <f t="shared" si="77"/>
        <v>713191.36</v>
      </c>
      <c r="H262" s="28"/>
      <c r="I262" s="28">
        <f t="shared" si="77"/>
        <v>0</v>
      </c>
      <c r="J262" s="28">
        <f t="shared" si="77"/>
        <v>2759141.73</v>
      </c>
      <c r="K262" s="28"/>
      <c r="L262" s="28">
        <f t="shared" si="77"/>
        <v>0</v>
      </c>
      <c r="M262" s="28"/>
      <c r="N262" s="28">
        <f t="shared" si="77"/>
        <v>0</v>
      </c>
      <c r="O262" s="28"/>
      <c r="P262" s="28">
        <f t="shared" si="77"/>
        <v>0</v>
      </c>
      <c r="Q262" s="28"/>
      <c r="R262" s="28">
        <f t="shared" si="77"/>
        <v>0</v>
      </c>
      <c r="S262" s="28">
        <f t="shared" si="77"/>
        <v>0</v>
      </c>
      <c r="T262" s="28">
        <f t="shared" si="77"/>
        <v>0</v>
      </c>
      <c r="U262" s="28">
        <f t="shared" si="77"/>
        <v>0</v>
      </c>
      <c r="V262" s="110">
        <f t="shared" si="77"/>
        <v>3472333.09</v>
      </c>
      <c r="W262" s="22" t="s">
        <v>117</v>
      </c>
      <c r="X262" s="22" t="s">
        <v>117</v>
      </c>
    </row>
    <row r="263" spans="1:28" ht="17.25" customHeight="1">
      <c r="A263" s="367" t="s">
        <v>63</v>
      </c>
      <c r="B263" s="359"/>
      <c r="C263" s="359"/>
      <c r="D263" s="359"/>
      <c r="E263" s="359"/>
      <c r="F263" s="359"/>
      <c r="G263" s="359"/>
      <c r="H263" s="359"/>
      <c r="I263" s="359"/>
      <c r="J263" s="359"/>
      <c r="K263" s="359"/>
      <c r="L263" s="359"/>
      <c r="M263" s="359"/>
      <c r="N263" s="359"/>
      <c r="O263" s="359"/>
      <c r="P263" s="359"/>
      <c r="Q263" s="359"/>
      <c r="R263" s="359"/>
      <c r="S263" s="359"/>
      <c r="T263" s="359"/>
      <c r="U263" s="359"/>
      <c r="V263" s="368"/>
      <c r="W263" s="38"/>
      <c r="X263" s="38"/>
    </row>
    <row r="264" spans="1:28" ht="17.25" customHeight="1">
      <c r="A264" s="75">
        <f>A261+1</f>
        <v>230</v>
      </c>
      <c r="B264" s="145" t="s">
        <v>285</v>
      </c>
      <c r="C264" s="148">
        <v>1982</v>
      </c>
      <c r="D264" s="146">
        <v>3979.6</v>
      </c>
      <c r="E264" s="146">
        <v>3351.7</v>
      </c>
      <c r="F264" s="54">
        <f>G264+I264+J264+L264+N264+P264+R264</f>
        <v>4021580.94</v>
      </c>
      <c r="G264" s="53">
        <v>0</v>
      </c>
      <c r="H264" s="53"/>
      <c r="I264" s="53">
        <v>4021580.94</v>
      </c>
      <c r="J264" s="53">
        <v>0</v>
      </c>
      <c r="K264" s="53"/>
      <c r="L264" s="53">
        <v>0</v>
      </c>
      <c r="M264" s="53"/>
      <c r="N264" s="53">
        <v>0</v>
      </c>
      <c r="O264" s="53"/>
      <c r="P264" s="53">
        <v>0</v>
      </c>
      <c r="Q264" s="53"/>
      <c r="R264" s="53">
        <v>0</v>
      </c>
      <c r="S264" s="53">
        <v>0</v>
      </c>
      <c r="T264" s="53">
        <v>0</v>
      </c>
      <c r="U264" s="53">
        <v>0</v>
      </c>
      <c r="V264" s="114">
        <f>F264</f>
        <v>4021580.94</v>
      </c>
      <c r="W264" s="71">
        <v>2017</v>
      </c>
      <c r="X264" s="71">
        <v>2017</v>
      </c>
      <c r="Y264" s="149" t="s">
        <v>154</v>
      </c>
      <c r="Z264" s="135">
        <v>9</v>
      </c>
    </row>
    <row r="265" spans="1:28" ht="17.25" customHeight="1">
      <c r="A265" s="75">
        <f>A264+1</f>
        <v>231</v>
      </c>
      <c r="B265" s="147" t="s">
        <v>286</v>
      </c>
      <c r="C265" s="148">
        <v>1987</v>
      </c>
      <c r="D265" s="146">
        <v>3135.1</v>
      </c>
      <c r="E265" s="146">
        <v>2740.7</v>
      </c>
      <c r="F265" s="54">
        <f>G265+I265+J265+L265+N265+P265+R265</f>
        <v>2545178.46</v>
      </c>
      <c r="G265" s="53">
        <v>0</v>
      </c>
      <c r="H265" s="53"/>
      <c r="I265" s="53">
        <v>0</v>
      </c>
      <c r="J265" s="47">
        <f>ROUND(928.66*E265,2)</f>
        <v>2545178.46</v>
      </c>
      <c r="K265" s="53">
        <f>J265/E265</f>
        <v>928.6599992702595</v>
      </c>
      <c r="L265" s="53">
        <v>0</v>
      </c>
      <c r="M265" s="53"/>
      <c r="N265" s="53">
        <v>0</v>
      </c>
      <c r="O265" s="53"/>
      <c r="P265" s="53">
        <v>0</v>
      </c>
      <c r="Q265" s="53"/>
      <c r="R265" s="53">
        <v>0</v>
      </c>
      <c r="S265" s="53">
        <v>0</v>
      </c>
      <c r="T265" s="53">
        <v>0</v>
      </c>
      <c r="U265" s="53">
        <v>0</v>
      </c>
      <c r="V265" s="114">
        <f>F265</f>
        <v>2545178.46</v>
      </c>
      <c r="W265" s="71">
        <v>2017</v>
      </c>
      <c r="X265" s="71">
        <v>2017</v>
      </c>
      <c r="Y265" s="150" t="s">
        <v>154</v>
      </c>
      <c r="Z265" s="135">
        <v>5</v>
      </c>
    </row>
    <row r="266" spans="1:28" ht="17.25" customHeight="1">
      <c r="A266" s="352" t="s">
        <v>280</v>
      </c>
      <c r="B266" s="353"/>
      <c r="C266" s="42"/>
      <c r="D266" s="110">
        <f>SUM(D264:D265)</f>
        <v>7114.7</v>
      </c>
      <c r="E266" s="110">
        <f>SUM(E264:E265)</f>
        <v>6092.4</v>
      </c>
      <c r="F266" s="27">
        <f>SUM(F264:F265)</f>
        <v>6566759.4000000004</v>
      </c>
      <c r="G266" s="28">
        <f>SUM(G264:G265)</f>
        <v>0</v>
      </c>
      <c r="H266" s="28"/>
      <c r="I266" s="28">
        <f>SUM(I264:I265)</f>
        <v>4021580.94</v>
      </c>
      <c r="J266" s="28">
        <f>SUM(J264:J265)</f>
        <v>2545178.46</v>
      </c>
      <c r="K266" s="28"/>
      <c r="L266" s="28">
        <f>SUM(L264:L265)</f>
        <v>0</v>
      </c>
      <c r="M266" s="28"/>
      <c r="N266" s="28">
        <f>SUM(N264:N265)</f>
        <v>0</v>
      </c>
      <c r="O266" s="28"/>
      <c r="P266" s="28">
        <f>SUM(P264:P265)</f>
        <v>0</v>
      </c>
      <c r="Q266" s="28"/>
      <c r="R266" s="28">
        <f>SUM(R264:R265)</f>
        <v>0</v>
      </c>
      <c r="S266" s="28">
        <f>SUM(S264:S265)</f>
        <v>0</v>
      </c>
      <c r="T266" s="28">
        <f>SUM(T264:T265)</f>
        <v>0</v>
      </c>
      <c r="U266" s="28">
        <f>SUM(U264:U265)</f>
        <v>0</v>
      </c>
      <c r="V266" s="110">
        <f>SUM(V264:V265)</f>
        <v>6566759.4000000004</v>
      </c>
      <c r="W266" s="22" t="s">
        <v>117</v>
      </c>
      <c r="X266" s="22" t="s">
        <v>117</v>
      </c>
    </row>
    <row r="267" spans="1:28" ht="17.25" customHeight="1">
      <c r="A267" s="367" t="s">
        <v>67</v>
      </c>
      <c r="B267" s="359"/>
      <c r="C267" s="359"/>
      <c r="D267" s="359"/>
      <c r="E267" s="359"/>
      <c r="F267" s="359"/>
      <c r="G267" s="359"/>
      <c r="H267" s="359"/>
      <c r="I267" s="359"/>
      <c r="J267" s="359"/>
      <c r="K267" s="359"/>
      <c r="L267" s="359"/>
      <c r="M267" s="359"/>
      <c r="N267" s="359"/>
      <c r="O267" s="359"/>
      <c r="P267" s="359"/>
      <c r="Q267" s="359"/>
      <c r="R267" s="359"/>
      <c r="S267" s="359"/>
      <c r="T267" s="359"/>
      <c r="U267" s="359"/>
      <c r="V267" s="368"/>
      <c r="W267" s="38"/>
      <c r="X267" s="38"/>
    </row>
    <row r="268" spans="1:28" ht="17.25" customHeight="1">
      <c r="A268" s="75">
        <f>A265+1</f>
        <v>232</v>
      </c>
      <c r="B268" s="72" t="s">
        <v>104</v>
      </c>
      <c r="C268" s="75">
        <v>1968</v>
      </c>
      <c r="D268" s="69">
        <v>5939.7</v>
      </c>
      <c r="E268" s="69">
        <v>5434.9</v>
      </c>
      <c r="F268" s="54">
        <f>G268+I268+J268+L268+N268+P268+R268</f>
        <v>1747048.61</v>
      </c>
      <c r="G268" s="48">
        <f>ROUND(321.45*E268,2)</f>
        <v>1747048.61</v>
      </c>
      <c r="H268" s="53">
        <f>G268/E268</f>
        <v>321.45000091998014</v>
      </c>
      <c r="I268" s="53">
        <v>0</v>
      </c>
      <c r="J268" s="53">
        <v>0</v>
      </c>
      <c r="K268" s="53"/>
      <c r="L268" s="53">
        <v>0</v>
      </c>
      <c r="M268" s="53"/>
      <c r="N268" s="53">
        <v>0</v>
      </c>
      <c r="O268" s="53"/>
      <c r="P268" s="53">
        <v>0</v>
      </c>
      <c r="Q268" s="53"/>
      <c r="R268" s="53">
        <v>0</v>
      </c>
      <c r="S268" s="53">
        <v>0</v>
      </c>
      <c r="T268" s="53">
        <v>0</v>
      </c>
      <c r="U268" s="53">
        <v>0</v>
      </c>
      <c r="V268" s="115">
        <f>F268-U268</f>
        <v>1747048.61</v>
      </c>
      <c r="W268" s="71">
        <v>2017</v>
      </c>
      <c r="X268" s="71">
        <v>2017</v>
      </c>
      <c r="Y268" s="104" t="s">
        <v>155</v>
      </c>
      <c r="Z268" s="101">
        <v>5</v>
      </c>
      <c r="AA268" s="271">
        <f>U268/F268*100</f>
        <v>0</v>
      </c>
    </row>
    <row r="269" spans="1:28" ht="17.25" customHeight="1">
      <c r="A269" s="75">
        <f>A268+1</f>
        <v>233</v>
      </c>
      <c r="B269" s="72" t="s">
        <v>165</v>
      </c>
      <c r="C269" s="75">
        <v>1985</v>
      </c>
      <c r="D269" s="69">
        <v>1478.2</v>
      </c>
      <c r="E269" s="69">
        <v>1250.5</v>
      </c>
      <c r="F269" s="54">
        <f>G269+I269+J269+L269+N269+P269+R269</f>
        <v>647809.02</v>
      </c>
      <c r="G269" s="48">
        <f>ROUND(518.04*E269,2)</f>
        <v>647809.02</v>
      </c>
      <c r="H269" s="53">
        <f>G269/E269</f>
        <v>518.04</v>
      </c>
      <c r="I269" s="53">
        <v>0</v>
      </c>
      <c r="J269" s="53">
        <v>0</v>
      </c>
      <c r="K269" s="53"/>
      <c r="L269" s="53">
        <v>0</v>
      </c>
      <c r="M269" s="53"/>
      <c r="N269" s="53">
        <v>0</v>
      </c>
      <c r="O269" s="53"/>
      <c r="P269" s="53">
        <v>0</v>
      </c>
      <c r="Q269" s="53"/>
      <c r="R269" s="53">
        <v>0</v>
      </c>
      <c r="S269" s="53">
        <v>0</v>
      </c>
      <c r="T269" s="53">
        <v>0</v>
      </c>
      <c r="U269" s="53">
        <v>0</v>
      </c>
      <c r="V269" s="115">
        <f>F269-U269</f>
        <v>647809.02</v>
      </c>
      <c r="W269" s="71">
        <v>2017</v>
      </c>
      <c r="X269" s="71">
        <v>2017</v>
      </c>
      <c r="Y269" s="104" t="s">
        <v>155</v>
      </c>
      <c r="Z269" s="101">
        <v>5</v>
      </c>
      <c r="AA269" s="271">
        <f>U269/F269*100</f>
        <v>0</v>
      </c>
    </row>
    <row r="270" spans="1:28" ht="17.25" customHeight="1">
      <c r="A270" s="75">
        <f>A269+1</f>
        <v>234</v>
      </c>
      <c r="B270" s="72" t="s">
        <v>166</v>
      </c>
      <c r="C270" s="75">
        <v>1986</v>
      </c>
      <c r="D270" s="69">
        <v>2490.5</v>
      </c>
      <c r="E270" s="69">
        <v>2207.6999999999998</v>
      </c>
      <c r="F270" s="54">
        <f>G270+I270+J270+L270+N270+P270+R270</f>
        <v>1143676.9099999999</v>
      </c>
      <c r="G270" s="48">
        <f>ROUND(518.04*E270,2)</f>
        <v>1143676.9099999999</v>
      </c>
      <c r="H270" s="53">
        <f>G270/E270</f>
        <v>518.04000090592024</v>
      </c>
      <c r="I270" s="53">
        <v>0</v>
      </c>
      <c r="J270" s="53">
        <v>0</v>
      </c>
      <c r="K270" s="53"/>
      <c r="L270" s="53">
        <v>0</v>
      </c>
      <c r="M270" s="53"/>
      <c r="N270" s="53">
        <v>0</v>
      </c>
      <c r="O270" s="53"/>
      <c r="P270" s="53">
        <v>0</v>
      </c>
      <c r="Q270" s="53"/>
      <c r="R270" s="53">
        <v>0</v>
      </c>
      <c r="S270" s="53">
        <v>0</v>
      </c>
      <c r="T270" s="53">
        <v>0</v>
      </c>
      <c r="U270" s="53">
        <v>0</v>
      </c>
      <c r="V270" s="115">
        <f>F270-U270</f>
        <v>1143676.9099999999</v>
      </c>
      <c r="W270" s="71">
        <v>2017</v>
      </c>
      <c r="X270" s="71">
        <v>2017</v>
      </c>
      <c r="Y270" s="104" t="s">
        <v>155</v>
      </c>
      <c r="Z270" s="101">
        <v>5</v>
      </c>
      <c r="AA270" s="271">
        <f>U270/F270*100</f>
        <v>0</v>
      </c>
    </row>
    <row r="271" spans="1:28" ht="17.25" customHeight="1">
      <c r="A271" s="352" t="s">
        <v>280</v>
      </c>
      <c r="B271" s="353"/>
      <c r="C271" s="42"/>
      <c r="D271" s="110">
        <f>SUM(D268:D270)</f>
        <v>9908.4</v>
      </c>
      <c r="E271" s="110">
        <f>SUM(E268:E270)</f>
        <v>8893.0999999999985</v>
      </c>
      <c r="F271" s="27">
        <f>SUM(F268:F270)</f>
        <v>3538534.54</v>
      </c>
      <c r="G271" s="28">
        <f>SUM(G268:G270)</f>
        <v>3538534.54</v>
      </c>
      <c r="H271" s="28"/>
      <c r="I271" s="28">
        <f>SUM(I268:I270)</f>
        <v>0</v>
      </c>
      <c r="J271" s="28">
        <f>SUM(J268:J270)</f>
        <v>0</v>
      </c>
      <c r="K271" s="28"/>
      <c r="L271" s="28">
        <f>SUM(L268:L270)</f>
        <v>0</v>
      </c>
      <c r="M271" s="28"/>
      <c r="N271" s="28">
        <f>SUM(N268:N270)</f>
        <v>0</v>
      </c>
      <c r="O271" s="28"/>
      <c r="P271" s="28">
        <f>SUM(P268:P270)</f>
        <v>0</v>
      </c>
      <c r="Q271" s="28"/>
      <c r="R271" s="28">
        <f>SUM(R268:R270)</f>
        <v>0</v>
      </c>
      <c r="S271" s="28">
        <f>SUM(S268:S270)</f>
        <v>0</v>
      </c>
      <c r="T271" s="28">
        <f>SUM(T268:T270)</f>
        <v>0</v>
      </c>
      <c r="U271" s="28">
        <f>SUM(U268:U270)</f>
        <v>0</v>
      </c>
      <c r="V271" s="110">
        <f>SUM(V268:V270)</f>
        <v>3538534.54</v>
      </c>
      <c r="W271" s="22" t="s">
        <v>117</v>
      </c>
      <c r="X271" s="22" t="s">
        <v>117</v>
      </c>
      <c r="AB271" s="268">
        <v>3477025.44</v>
      </c>
    </row>
    <row r="272" spans="1:28" ht="17.25" customHeight="1">
      <c r="A272" s="361" t="s">
        <v>32</v>
      </c>
      <c r="B272" s="362"/>
      <c r="C272" s="362"/>
      <c r="D272" s="362"/>
      <c r="E272" s="362"/>
      <c r="F272" s="362"/>
      <c r="G272" s="362"/>
      <c r="H272" s="362"/>
      <c r="I272" s="362"/>
      <c r="J272" s="362"/>
      <c r="K272" s="362"/>
      <c r="L272" s="362"/>
      <c r="M272" s="362"/>
      <c r="N272" s="362"/>
      <c r="O272" s="362"/>
      <c r="P272" s="362"/>
      <c r="Q272" s="362"/>
      <c r="R272" s="362"/>
      <c r="S272" s="362"/>
      <c r="T272" s="362"/>
      <c r="U272" s="362"/>
      <c r="V272" s="363"/>
      <c r="W272" s="38"/>
      <c r="X272" s="38"/>
    </row>
    <row r="273" spans="1:26" s="24" customFormat="1" ht="17.25" customHeight="1">
      <c r="A273" s="71">
        <f>A270+1</f>
        <v>235</v>
      </c>
      <c r="B273" s="72" t="s">
        <v>413</v>
      </c>
      <c r="C273" s="71">
        <v>1979</v>
      </c>
      <c r="D273" s="246">
        <v>6027.8</v>
      </c>
      <c r="E273" s="247">
        <v>5271</v>
      </c>
      <c r="F273" s="54">
        <f t="shared" ref="F273:F298" si="78">G273+I273+J273+L273+N273+P273+R273</f>
        <v>12064742.82</v>
      </c>
      <c r="G273" s="53">
        <v>0</v>
      </c>
      <c r="H273" s="53">
        <v>0</v>
      </c>
      <c r="I273" s="53">
        <f>ROUND(3*4021580.94,2)</f>
        <v>12064742.82</v>
      </c>
      <c r="J273" s="53">
        <v>0</v>
      </c>
      <c r="K273" s="53">
        <v>0</v>
      </c>
      <c r="L273" s="53">
        <v>0</v>
      </c>
      <c r="M273" s="53">
        <v>0</v>
      </c>
      <c r="N273" s="53">
        <v>0</v>
      </c>
      <c r="O273" s="53">
        <v>0</v>
      </c>
      <c r="P273" s="53">
        <v>0</v>
      </c>
      <c r="Q273" s="53">
        <v>0</v>
      </c>
      <c r="R273" s="53">
        <v>0</v>
      </c>
      <c r="S273" s="53">
        <v>0</v>
      </c>
      <c r="T273" s="53">
        <v>0</v>
      </c>
      <c r="U273" s="53">
        <v>0</v>
      </c>
      <c r="V273" s="114">
        <f t="shared" ref="V273:V297" si="79">F273</f>
        <v>12064742.82</v>
      </c>
      <c r="W273" s="71">
        <v>2017</v>
      </c>
      <c r="X273" s="71">
        <v>2017</v>
      </c>
      <c r="Y273" s="55" t="s">
        <v>433</v>
      </c>
      <c r="Z273" s="71">
        <v>9</v>
      </c>
    </row>
    <row r="274" spans="1:26" s="24" customFormat="1" ht="17.25" customHeight="1">
      <c r="A274" s="71">
        <f>A273+1</f>
        <v>236</v>
      </c>
      <c r="B274" s="72" t="s">
        <v>414</v>
      </c>
      <c r="C274" s="71">
        <v>1979</v>
      </c>
      <c r="D274" s="35">
        <v>5959.8</v>
      </c>
      <c r="E274" s="243">
        <v>5061.5</v>
      </c>
      <c r="F274" s="54">
        <f t="shared" si="78"/>
        <v>12064742.82</v>
      </c>
      <c r="G274" s="53">
        <v>0</v>
      </c>
      <c r="H274" s="53">
        <v>0</v>
      </c>
      <c r="I274" s="53">
        <f>ROUND(3*4021580.94,2)</f>
        <v>12064742.82</v>
      </c>
      <c r="J274" s="53">
        <v>0</v>
      </c>
      <c r="K274" s="53">
        <v>0</v>
      </c>
      <c r="L274" s="53">
        <v>0</v>
      </c>
      <c r="M274" s="53">
        <v>0</v>
      </c>
      <c r="N274" s="53">
        <v>0</v>
      </c>
      <c r="O274" s="53">
        <v>0</v>
      </c>
      <c r="P274" s="53">
        <v>0</v>
      </c>
      <c r="Q274" s="53">
        <v>0</v>
      </c>
      <c r="R274" s="53">
        <v>0</v>
      </c>
      <c r="S274" s="53">
        <v>0</v>
      </c>
      <c r="T274" s="53">
        <v>0</v>
      </c>
      <c r="U274" s="53">
        <v>0</v>
      </c>
      <c r="V274" s="114">
        <f t="shared" si="79"/>
        <v>12064742.82</v>
      </c>
      <c r="W274" s="71">
        <v>2017</v>
      </c>
      <c r="X274" s="71">
        <v>2017</v>
      </c>
      <c r="Y274" s="55" t="s">
        <v>433</v>
      </c>
      <c r="Z274" s="71">
        <v>9</v>
      </c>
    </row>
    <row r="275" spans="1:26" s="24" customFormat="1" ht="17.25" customHeight="1">
      <c r="A275" s="71">
        <f t="shared" ref="A275:A298" si="80">A274+1</f>
        <v>237</v>
      </c>
      <c r="B275" s="72" t="s">
        <v>415</v>
      </c>
      <c r="C275" s="71">
        <v>1980</v>
      </c>
      <c r="D275" s="35">
        <v>5967.7</v>
      </c>
      <c r="E275" s="243">
        <v>5119.7</v>
      </c>
      <c r="F275" s="54">
        <f t="shared" si="78"/>
        <v>12064742.82</v>
      </c>
      <c r="G275" s="53">
        <v>0</v>
      </c>
      <c r="H275" s="53">
        <v>0</v>
      </c>
      <c r="I275" s="53">
        <f>ROUND(3*4021580.94,2)</f>
        <v>12064742.82</v>
      </c>
      <c r="J275" s="53">
        <v>0</v>
      </c>
      <c r="K275" s="53">
        <v>0</v>
      </c>
      <c r="L275" s="53">
        <v>0</v>
      </c>
      <c r="M275" s="53">
        <v>0</v>
      </c>
      <c r="N275" s="53">
        <v>0</v>
      </c>
      <c r="O275" s="53">
        <v>0</v>
      </c>
      <c r="P275" s="53">
        <v>0</v>
      </c>
      <c r="Q275" s="53">
        <v>0</v>
      </c>
      <c r="R275" s="53">
        <v>0</v>
      </c>
      <c r="S275" s="53">
        <v>0</v>
      </c>
      <c r="T275" s="53">
        <v>0</v>
      </c>
      <c r="U275" s="53">
        <v>0</v>
      </c>
      <c r="V275" s="114">
        <f t="shared" si="79"/>
        <v>12064742.82</v>
      </c>
      <c r="W275" s="71">
        <v>2017</v>
      </c>
      <c r="X275" s="71">
        <v>2017</v>
      </c>
      <c r="Y275" s="55" t="s">
        <v>433</v>
      </c>
      <c r="Z275" s="71">
        <v>9</v>
      </c>
    </row>
    <row r="276" spans="1:26" s="24" customFormat="1" ht="17.25" customHeight="1">
      <c r="A276" s="71">
        <f t="shared" si="80"/>
        <v>238</v>
      </c>
      <c r="B276" s="72" t="s">
        <v>416</v>
      </c>
      <c r="C276" s="71">
        <v>1980</v>
      </c>
      <c r="D276" s="35">
        <v>5993.4</v>
      </c>
      <c r="E276" s="243">
        <v>5136.1000000000004</v>
      </c>
      <c r="F276" s="54">
        <f t="shared" si="78"/>
        <v>12064742.82</v>
      </c>
      <c r="G276" s="53">
        <v>0</v>
      </c>
      <c r="H276" s="53">
        <v>0</v>
      </c>
      <c r="I276" s="53">
        <f>ROUND(3*4021580.94,2)</f>
        <v>12064742.82</v>
      </c>
      <c r="J276" s="53">
        <v>0</v>
      </c>
      <c r="K276" s="53">
        <v>0</v>
      </c>
      <c r="L276" s="53">
        <v>0</v>
      </c>
      <c r="M276" s="53">
        <v>0</v>
      </c>
      <c r="N276" s="53">
        <v>0</v>
      </c>
      <c r="O276" s="53">
        <v>0</v>
      </c>
      <c r="P276" s="53">
        <v>0</v>
      </c>
      <c r="Q276" s="53">
        <v>0</v>
      </c>
      <c r="R276" s="53">
        <v>0</v>
      </c>
      <c r="S276" s="53">
        <v>0</v>
      </c>
      <c r="T276" s="53">
        <v>0</v>
      </c>
      <c r="U276" s="53">
        <v>0</v>
      </c>
      <c r="V276" s="114">
        <f t="shared" si="79"/>
        <v>12064742.82</v>
      </c>
      <c r="W276" s="71">
        <v>2017</v>
      </c>
      <c r="X276" s="71">
        <v>2017</v>
      </c>
      <c r="Y276" s="55" t="s">
        <v>433</v>
      </c>
      <c r="Z276" s="71">
        <v>9</v>
      </c>
    </row>
    <row r="277" spans="1:26" s="24" customFormat="1" ht="17.25" customHeight="1">
      <c r="A277" s="71">
        <f t="shared" si="80"/>
        <v>239</v>
      </c>
      <c r="B277" s="72" t="s">
        <v>417</v>
      </c>
      <c r="C277" s="71">
        <v>1984</v>
      </c>
      <c r="D277" s="222">
        <v>3897.3</v>
      </c>
      <c r="E277" s="243">
        <v>3367.6</v>
      </c>
      <c r="F277" s="54">
        <f t="shared" si="78"/>
        <v>569360.13</v>
      </c>
      <c r="G277" s="53">
        <f>ROUND(169.07*$E277/107*100,2)</f>
        <v>532112.27</v>
      </c>
      <c r="H277" s="53">
        <f t="shared" ref="H277:H297" si="81">G277/E277</f>
        <v>158.00934493407769</v>
      </c>
      <c r="I277" s="53">
        <v>0</v>
      </c>
      <c r="J277" s="53">
        <v>0</v>
      </c>
      <c r="K277" s="53">
        <v>0</v>
      </c>
      <c r="L277" s="53">
        <v>0</v>
      </c>
      <c r="M277" s="53">
        <v>0</v>
      </c>
      <c r="N277" s="53">
        <v>0</v>
      </c>
      <c r="O277" s="53">
        <v>0</v>
      </c>
      <c r="P277" s="53">
        <v>0</v>
      </c>
      <c r="Q277" s="53">
        <v>0</v>
      </c>
      <c r="R277" s="53">
        <f>ROUND(169.07*$E277/107*7,2)</f>
        <v>37247.86</v>
      </c>
      <c r="S277" s="53">
        <v>0</v>
      </c>
      <c r="T277" s="53">
        <v>0</v>
      </c>
      <c r="U277" s="53">
        <v>0</v>
      </c>
      <c r="V277" s="114">
        <f t="shared" si="79"/>
        <v>569360.13</v>
      </c>
      <c r="W277" s="71">
        <v>2017</v>
      </c>
      <c r="X277" s="71">
        <v>2017</v>
      </c>
      <c r="Y277" s="72" t="s">
        <v>433</v>
      </c>
      <c r="Z277" s="71">
        <v>9</v>
      </c>
    </row>
    <row r="278" spans="1:26" s="24" customFormat="1" ht="17.25" customHeight="1">
      <c r="A278" s="71">
        <f t="shared" si="80"/>
        <v>240</v>
      </c>
      <c r="B278" s="72" t="s">
        <v>418</v>
      </c>
      <c r="C278" s="71">
        <v>1985</v>
      </c>
      <c r="D278" s="222">
        <v>4069.4</v>
      </c>
      <c r="E278" s="243">
        <v>3670.6</v>
      </c>
      <c r="F278" s="54">
        <f t="shared" si="78"/>
        <v>620588.34</v>
      </c>
      <c r="G278" s="53">
        <f>ROUND(169.07*$E278/107*100,2)</f>
        <v>579989.1</v>
      </c>
      <c r="H278" s="53">
        <f t="shared" si="81"/>
        <v>158.00934452133166</v>
      </c>
      <c r="I278" s="53">
        <v>0</v>
      </c>
      <c r="J278" s="53">
        <v>0</v>
      </c>
      <c r="K278" s="53">
        <v>0</v>
      </c>
      <c r="L278" s="53">
        <v>0</v>
      </c>
      <c r="M278" s="53">
        <v>0</v>
      </c>
      <c r="N278" s="53">
        <v>0</v>
      </c>
      <c r="O278" s="53">
        <v>0</v>
      </c>
      <c r="P278" s="53">
        <v>0</v>
      </c>
      <c r="Q278" s="53">
        <v>0</v>
      </c>
      <c r="R278" s="53">
        <f>ROUND(169.07*$E278/107*7,2)</f>
        <v>40599.24</v>
      </c>
      <c r="S278" s="53">
        <v>0</v>
      </c>
      <c r="T278" s="53">
        <v>0</v>
      </c>
      <c r="U278" s="53">
        <v>0</v>
      </c>
      <c r="V278" s="114">
        <f t="shared" si="79"/>
        <v>620588.34</v>
      </c>
      <c r="W278" s="71">
        <v>2017</v>
      </c>
      <c r="X278" s="71">
        <v>2017</v>
      </c>
      <c r="Y278" s="72" t="s">
        <v>433</v>
      </c>
      <c r="Z278" s="71">
        <v>9</v>
      </c>
    </row>
    <row r="279" spans="1:26" s="24" customFormat="1" ht="17.25" customHeight="1">
      <c r="A279" s="71">
        <f t="shared" si="80"/>
        <v>241</v>
      </c>
      <c r="B279" s="72" t="s">
        <v>419</v>
      </c>
      <c r="C279" s="71">
        <v>1986</v>
      </c>
      <c r="D279" s="222">
        <v>4394.3999999999996</v>
      </c>
      <c r="E279" s="243">
        <v>3760.7</v>
      </c>
      <c r="F279" s="54">
        <f t="shared" si="78"/>
        <v>635821.55000000005</v>
      </c>
      <c r="G279" s="53">
        <f>ROUND(169.07*$E279/107*100,2)</f>
        <v>594225.75</v>
      </c>
      <c r="H279" s="53">
        <f t="shared" si="81"/>
        <v>158.00934666418487</v>
      </c>
      <c r="I279" s="53">
        <v>0</v>
      </c>
      <c r="J279" s="53">
        <v>0</v>
      </c>
      <c r="K279" s="53">
        <v>0</v>
      </c>
      <c r="L279" s="53">
        <v>0</v>
      </c>
      <c r="M279" s="53">
        <v>0</v>
      </c>
      <c r="N279" s="53">
        <v>0</v>
      </c>
      <c r="O279" s="53">
        <v>0</v>
      </c>
      <c r="P279" s="53">
        <v>0</v>
      </c>
      <c r="Q279" s="53">
        <v>0</v>
      </c>
      <c r="R279" s="53">
        <f>ROUND(169.07*$E279/107*7,2)</f>
        <v>41595.800000000003</v>
      </c>
      <c r="S279" s="53">
        <v>0</v>
      </c>
      <c r="T279" s="53">
        <v>0</v>
      </c>
      <c r="U279" s="53">
        <v>0</v>
      </c>
      <c r="V279" s="114">
        <f t="shared" si="79"/>
        <v>635821.55000000005</v>
      </c>
      <c r="W279" s="71">
        <v>2017</v>
      </c>
      <c r="X279" s="71">
        <v>2017</v>
      </c>
      <c r="Y279" s="72" t="s">
        <v>433</v>
      </c>
      <c r="Z279" s="71">
        <v>9</v>
      </c>
    </row>
    <row r="280" spans="1:26" s="24" customFormat="1" ht="17.25" customHeight="1">
      <c r="A280" s="71">
        <f t="shared" si="80"/>
        <v>242</v>
      </c>
      <c r="B280" s="72" t="s">
        <v>25</v>
      </c>
      <c r="C280" s="71">
        <v>1978</v>
      </c>
      <c r="D280" s="222">
        <v>7959.9</v>
      </c>
      <c r="E280" s="243">
        <v>6823.3</v>
      </c>
      <c r="F280" s="54">
        <f t="shared" si="78"/>
        <v>1153615.3299999998</v>
      </c>
      <c r="G280" s="53">
        <f>ROUND(169.07*$E280/107*100,2)</f>
        <v>1078145.17</v>
      </c>
      <c r="H280" s="53">
        <f t="shared" si="81"/>
        <v>158.00934591766446</v>
      </c>
      <c r="I280" s="53">
        <v>0</v>
      </c>
      <c r="J280" s="53">
        <v>0</v>
      </c>
      <c r="K280" s="53">
        <v>0</v>
      </c>
      <c r="L280" s="53">
        <v>0</v>
      </c>
      <c r="M280" s="53">
        <v>0</v>
      </c>
      <c r="N280" s="53">
        <v>0</v>
      </c>
      <c r="O280" s="53">
        <v>0</v>
      </c>
      <c r="P280" s="53">
        <v>0</v>
      </c>
      <c r="Q280" s="53">
        <v>0</v>
      </c>
      <c r="R280" s="53">
        <f>ROUND(169.07*$E280/107*7,2)</f>
        <v>75470.16</v>
      </c>
      <c r="S280" s="53">
        <v>0</v>
      </c>
      <c r="T280" s="53">
        <v>0</v>
      </c>
      <c r="U280" s="53">
        <v>0</v>
      </c>
      <c r="V280" s="114">
        <f t="shared" si="79"/>
        <v>1153615.3299999998</v>
      </c>
      <c r="W280" s="71">
        <v>2017</v>
      </c>
      <c r="X280" s="71">
        <v>2017</v>
      </c>
      <c r="Y280" s="72" t="s">
        <v>433</v>
      </c>
      <c r="Z280" s="71">
        <v>9</v>
      </c>
    </row>
    <row r="281" spans="1:26" s="24" customFormat="1" ht="17.25" customHeight="1">
      <c r="A281" s="71">
        <f t="shared" si="80"/>
        <v>243</v>
      </c>
      <c r="B281" s="72" t="s">
        <v>420</v>
      </c>
      <c r="C281" s="71">
        <v>1974</v>
      </c>
      <c r="D281" s="222">
        <v>7920.3</v>
      </c>
      <c r="E281" s="243">
        <v>7266.6</v>
      </c>
      <c r="F281" s="54">
        <f t="shared" si="78"/>
        <v>1562319</v>
      </c>
      <c r="G281" s="53">
        <f>ROUND(215*$E281/107*100,2)</f>
        <v>1460111.21</v>
      </c>
      <c r="H281" s="53">
        <f t="shared" si="81"/>
        <v>200.93457875760328</v>
      </c>
      <c r="I281" s="53">
        <v>0</v>
      </c>
      <c r="J281" s="53">
        <v>0</v>
      </c>
      <c r="K281" s="53">
        <v>0</v>
      </c>
      <c r="L281" s="53">
        <v>0</v>
      </c>
      <c r="M281" s="53">
        <v>0</v>
      </c>
      <c r="N281" s="53">
        <v>0</v>
      </c>
      <c r="O281" s="53">
        <v>0</v>
      </c>
      <c r="P281" s="53">
        <v>0</v>
      </c>
      <c r="Q281" s="53">
        <v>0</v>
      </c>
      <c r="R281" s="53">
        <f>ROUND(215*$E281/107*7,2)</f>
        <v>102207.79</v>
      </c>
      <c r="S281" s="53">
        <v>0</v>
      </c>
      <c r="T281" s="53">
        <v>0</v>
      </c>
      <c r="U281" s="53">
        <v>0</v>
      </c>
      <c r="V281" s="114">
        <f t="shared" si="79"/>
        <v>1562319</v>
      </c>
      <c r="W281" s="71">
        <v>2017</v>
      </c>
      <c r="X281" s="71">
        <v>2017</v>
      </c>
      <c r="Y281" s="72" t="s">
        <v>434</v>
      </c>
      <c r="Z281" s="71">
        <v>5</v>
      </c>
    </row>
    <row r="282" spans="1:26" s="24" customFormat="1" ht="17.25" customHeight="1">
      <c r="A282" s="71">
        <f t="shared" si="80"/>
        <v>244</v>
      </c>
      <c r="B282" s="72" t="s">
        <v>421</v>
      </c>
      <c r="C282" s="71">
        <v>1972</v>
      </c>
      <c r="D282" s="244">
        <v>4927.2</v>
      </c>
      <c r="E282" s="243">
        <v>4698.5</v>
      </c>
      <c r="F282" s="54">
        <f t="shared" si="78"/>
        <v>1010177.5</v>
      </c>
      <c r="G282" s="53">
        <f>ROUND(215*$E282/107*100,2)</f>
        <v>944091.12</v>
      </c>
      <c r="H282" s="53">
        <f t="shared" si="81"/>
        <v>200.93457912099606</v>
      </c>
      <c r="I282" s="53">
        <v>0</v>
      </c>
      <c r="J282" s="53">
        <v>0</v>
      </c>
      <c r="K282" s="53">
        <v>0</v>
      </c>
      <c r="L282" s="53">
        <v>0</v>
      </c>
      <c r="M282" s="53">
        <v>0</v>
      </c>
      <c r="N282" s="53">
        <v>0</v>
      </c>
      <c r="O282" s="53">
        <v>0</v>
      </c>
      <c r="P282" s="53">
        <v>0</v>
      </c>
      <c r="Q282" s="53">
        <v>0</v>
      </c>
      <c r="R282" s="53">
        <f>ROUND(215*$E282/107*7,2)</f>
        <v>66086.38</v>
      </c>
      <c r="S282" s="53">
        <v>0</v>
      </c>
      <c r="T282" s="53">
        <v>0</v>
      </c>
      <c r="U282" s="53">
        <v>0</v>
      </c>
      <c r="V282" s="114">
        <f t="shared" si="79"/>
        <v>1010177.5</v>
      </c>
      <c r="W282" s="71">
        <v>2017</v>
      </c>
      <c r="X282" s="71">
        <v>2017</v>
      </c>
      <c r="Y282" s="242" t="s">
        <v>434</v>
      </c>
      <c r="Z282" s="241">
        <v>5</v>
      </c>
    </row>
    <row r="283" spans="1:26" s="24" customFormat="1" ht="17.25" customHeight="1">
      <c r="A283" s="71">
        <f t="shared" si="80"/>
        <v>245</v>
      </c>
      <c r="B283" s="72" t="s">
        <v>422</v>
      </c>
      <c r="C283" s="71">
        <v>1975</v>
      </c>
      <c r="D283" s="222">
        <v>3617.1</v>
      </c>
      <c r="E283" s="243">
        <v>3226.3</v>
      </c>
      <c r="F283" s="54">
        <f t="shared" si="78"/>
        <v>663198.2300000001</v>
      </c>
      <c r="G283" s="53">
        <f>ROUND(205.56*$E283/107*100,2)</f>
        <v>619811.43000000005</v>
      </c>
      <c r="H283" s="53">
        <f t="shared" si="81"/>
        <v>192.11215014102842</v>
      </c>
      <c r="I283" s="53">
        <v>0</v>
      </c>
      <c r="J283" s="53">
        <v>0</v>
      </c>
      <c r="K283" s="53">
        <v>0</v>
      </c>
      <c r="L283" s="53">
        <v>0</v>
      </c>
      <c r="M283" s="53">
        <v>0</v>
      </c>
      <c r="N283" s="53">
        <v>0</v>
      </c>
      <c r="O283" s="53">
        <v>0</v>
      </c>
      <c r="P283" s="53">
        <v>0</v>
      </c>
      <c r="Q283" s="53">
        <v>0</v>
      </c>
      <c r="R283" s="53">
        <f>ROUND(205.56*$E283/107*7,2)</f>
        <v>43386.8</v>
      </c>
      <c r="S283" s="53">
        <v>0</v>
      </c>
      <c r="T283" s="53">
        <v>0</v>
      </c>
      <c r="U283" s="53">
        <v>0</v>
      </c>
      <c r="V283" s="114">
        <f t="shared" si="79"/>
        <v>663198.2300000001</v>
      </c>
      <c r="W283" s="71">
        <v>2017</v>
      </c>
      <c r="X283" s="71">
        <v>2017</v>
      </c>
      <c r="Y283" s="72" t="s">
        <v>433</v>
      </c>
      <c r="Z283" s="71">
        <v>5</v>
      </c>
    </row>
    <row r="284" spans="1:26" s="24" customFormat="1" ht="17.25" customHeight="1">
      <c r="A284" s="71">
        <f t="shared" si="80"/>
        <v>246</v>
      </c>
      <c r="B284" s="72" t="s">
        <v>423</v>
      </c>
      <c r="C284" s="71">
        <v>1986</v>
      </c>
      <c r="D284" s="222">
        <v>3957</v>
      </c>
      <c r="E284" s="243">
        <v>3534.5</v>
      </c>
      <c r="F284" s="54">
        <f t="shared" si="78"/>
        <v>1240538.81</v>
      </c>
      <c r="G284" s="53">
        <f>ROUND((145.42+205.56)/107*100*$E284,2)</f>
        <v>1159382.07</v>
      </c>
      <c r="H284" s="53">
        <f t="shared" si="81"/>
        <v>328.01869288442498</v>
      </c>
      <c r="I284" s="53">
        <v>0</v>
      </c>
      <c r="J284" s="53">
        <v>0</v>
      </c>
      <c r="K284" s="53">
        <v>0</v>
      </c>
      <c r="L284" s="53">
        <v>0</v>
      </c>
      <c r="M284" s="53">
        <v>0</v>
      </c>
      <c r="N284" s="53">
        <v>0</v>
      </c>
      <c r="O284" s="53">
        <v>0</v>
      </c>
      <c r="P284" s="53">
        <v>0</v>
      </c>
      <c r="Q284" s="53">
        <v>0</v>
      </c>
      <c r="R284" s="53">
        <f>ROUND((145.42+205.56)*$E284/107*7,2)</f>
        <v>81156.740000000005</v>
      </c>
      <c r="S284" s="53">
        <v>0</v>
      </c>
      <c r="T284" s="53">
        <v>0</v>
      </c>
      <c r="U284" s="53">
        <v>0</v>
      </c>
      <c r="V284" s="114">
        <f t="shared" si="79"/>
        <v>1240538.81</v>
      </c>
      <c r="W284" s="71">
        <v>2017</v>
      </c>
      <c r="X284" s="71">
        <v>2017</v>
      </c>
      <c r="Y284" s="72" t="s">
        <v>433</v>
      </c>
      <c r="Z284" s="71">
        <v>5</v>
      </c>
    </row>
    <row r="285" spans="1:26" s="24" customFormat="1" ht="17.25" customHeight="1">
      <c r="A285" s="71">
        <f t="shared" si="80"/>
        <v>247</v>
      </c>
      <c r="B285" s="72" t="s">
        <v>424</v>
      </c>
      <c r="C285" s="71">
        <v>1989</v>
      </c>
      <c r="D285" s="222">
        <v>9161.5</v>
      </c>
      <c r="E285" s="243">
        <v>7895.5</v>
      </c>
      <c r="F285" s="54">
        <f t="shared" si="78"/>
        <v>1334892.19</v>
      </c>
      <c r="G285" s="53">
        <f>ROUND(169.07*$E285/107*100,2)</f>
        <v>1247562.79</v>
      </c>
      <c r="H285" s="53">
        <f t="shared" si="81"/>
        <v>158.00934582990311</v>
      </c>
      <c r="I285" s="53">
        <v>0</v>
      </c>
      <c r="J285" s="53">
        <v>0</v>
      </c>
      <c r="K285" s="53">
        <v>0</v>
      </c>
      <c r="L285" s="53">
        <v>0</v>
      </c>
      <c r="M285" s="53">
        <v>0</v>
      </c>
      <c r="N285" s="53">
        <v>0</v>
      </c>
      <c r="O285" s="53">
        <v>0</v>
      </c>
      <c r="P285" s="53">
        <v>0</v>
      </c>
      <c r="Q285" s="53">
        <v>0</v>
      </c>
      <c r="R285" s="53">
        <f>ROUND(169.07*$E285/107*7,2)</f>
        <v>87329.4</v>
      </c>
      <c r="S285" s="53">
        <v>0</v>
      </c>
      <c r="T285" s="53">
        <v>0</v>
      </c>
      <c r="U285" s="53">
        <v>0</v>
      </c>
      <c r="V285" s="114">
        <f t="shared" si="79"/>
        <v>1334892.19</v>
      </c>
      <c r="W285" s="71">
        <v>2017</v>
      </c>
      <c r="X285" s="71">
        <v>2017</v>
      </c>
      <c r="Y285" s="72" t="s">
        <v>433</v>
      </c>
      <c r="Z285" s="71">
        <v>9</v>
      </c>
    </row>
    <row r="286" spans="1:26" s="24" customFormat="1" ht="17.25" customHeight="1">
      <c r="A286" s="71">
        <f t="shared" si="80"/>
        <v>248</v>
      </c>
      <c r="B286" s="72" t="s">
        <v>425</v>
      </c>
      <c r="C286" s="71">
        <v>1983</v>
      </c>
      <c r="D286" s="222">
        <v>3876.5</v>
      </c>
      <c r="E286" s="243">
        <v>3321</v>
      </c>
      <c r="F286" s="54">
        <f t="shared" si="78"/>
        <v>561481.47000000009</v>
      </c>
      <c r="G286" s="53">
        <f>ROUND(169.07*$E286/107*100,2)</f>
        <v>524749.04</v>
      </c>
      <c r="H286" s="53">
        <f t="shared" si="81"/>
        <v>158.00934658235474</v>
      </c>
      <c r="I286" s="53">
        <v>0</v>
      </c>
      <c r="J286" s="53">
        <v>0</v>
      </c>
      <c r="K286" s="53">
        <v>0</v>
      </c>
      <c r="L286" s="53">
        <v>0</v>
      </c>
      <c r="M286" s="53">
        <v>0</v>
      </c>
      <c r="N286" s="53">
        <v>0</v>
      </c>
      <c r="O286" s="53">
        <v>0</v>
      </c>
      <c r="P286" s="53">
        <v>0</v>
      </c>
      <c r="Q286" s="53">
        <v>0</v>
      </c>
      <c r="R286" s="53">
        <f>ROUND(169.07*$E286/107*7,2)</f>
        <v>36732.43</v>
      </c>
      <c r="S286" s="53">
        <v>0</v>
      </c>
      <c r="T286" s="53">
        <v>0</v>
      </c>
      <c r="U286" s="53">
        <v>0</v>
      </c>
      <c r="V286" s="114">
        <f t="shared" si="79"/>
        <v>561481.47000000009</v>
      </c>
      <c r="W286" s="71">
        <v>2017</v>
      </c>
      <c r="X286" s="71">
        <v>2017</v>
      </c>
      <c r="Y286" s="72" t="s">
        <v>433</v>
      </c>
      <c r="Z286" s="71">
        <v>9</v>
      </c>
    </row>
    <row r="287" spans="1:26" s="24" customFormat="1" ht="17.25" customHeight="1">
      <c r="A287" s="71">
        <f t="shared" si="80"/>
        <v>249</v>
      </c>
      <c r="B287" s="72" t="s">
        <v>426</v>
      </c>
      <c r="C287" s="71">
        <v>1980</v>
      </c>
      <c r="D287" s="222">
        <v>2377.5</v>
      </c>
      <c r="E287" s="243">
        <v>2073.4</v>
      </c>
      <c r="F287" s="54">
        <f t="shared" si="78"/>
        <v>426208.10000000003</v>
      </c>
      <c r="G287" s="53">
        <f>ROUND(205.56*$E287/107*100,2)</f>
        <v>398325.33</v>
      </c>
      <c r="H287" s="53">
        <f t="shared" si="81"/>
        <v>192.11214912703772</v>
      </c>
      <c r="I287" s="53">
        <v>0</v>
      </c>
      <c r="J287" s="53">
        <v>0</v>
      </c>
      <c r="K287" s="53">
        <v>0</v>
      </c>
      <c r="L287" s="53">
        <v>0</v>
      </c>
      <c r="M287" s="53">
        <v>0</v>
      </c>
      <c r="N287" s="53">
        <v>0</v>
      </c>
      <c r="O287" s="53">
        <v>0</v>
      </c>
      <c r="P287" s="53">
        <v>0</v>
      </c>
      <c r="Q287" s="53">
        <v>0</v>
      </c>
      <c r="R287" s="53">
        <f>ROUND(205.56*$E287/107*7,2)</f>
        <v>27882.77</v>
      </c>
      <c r="S287" s="53">
        <v>0</v>
      </c>
      <c r="T287" s="53">
        <v>0</v>
      </c>
      <c r="U287" s="53">
        <v>0</v>
      </c>
      <c r="V287" s="114">
        <f t="shared" si="79"/>
        <v>426208.10000000003</v>
      </c>
      <c r="W287" s="71">
        <v>2017</v>
      </c>
      <c r="X287" s="71">
        <v>2017</v>
      </c>
      <c r="Y287" s="72" t="s">
        <v>433</v>
      </c>
      <c r="Z287" s="71">
        <v>5</v>
      </c>
    </row>
    <row r="288" spans="1:26" s="24" customFormat="1" ht="17.25" customHeight="1">
      <c r="A288" s="71">
        <f t="shared" si="80"/>
        <v>250</v>
      </c>
      <c r="B288" s="72" t="s">
        <v>427</v>
      </c>
      <c r="C288" s="71">
        <v>1983</v>
      </c>
      <c r="D288" s="222">
        <v>4521.2</v>
      </c>
      <c r="E288" s="243">
        <v>4026.5</v>
      </c>
      <c r="F288" s="54">
        <f t="shared" si="78"/>
        <v>827687.34</v>
      </c>
      <c r="G288" s="53">
        <f>ROUND(205.56*$E288/107*100,2)</f>
        <v>773539.57</v>
      </c>
      <c r="H288" s="53">
        <f t="shared" si="81"/>
        <v>192.11214950949955</v>
      </c>
      <c r="I288" s="53">
        <v>0</v>
      </c>
      <c r="J288" s="53">
        <v>0</v>
      </c>
      <c r="K288" s="53">
        <v>0</v>
      </c>
      <c r="L288" s="53">
        <v>0</v>
      </c>
      <c r="M288" s="53">
        <v>0</v>
      </c>
      <c r="N288" s="53">
        <v>0</v>
      </c>
      <c r="O288" s="53">
        <v>0</v>
      </c>
      <c r="P288" s="53">
        <v>0</v>
      </c>
      <c r="Q288" s="53">
        <v>0</v>
      </c>
      <c r="R288" s="53">
        <f>ROUND(205.56*$E288/107*7,2)</f>
        <v>54147.77</v>
      </c>
      <c r="S288" s="53">
        <v>0</v>
      </c>
      <c r="T288" s="53">
        <v>0</v>
      </c>
      <c r="U288" s="53">
        <v>0</v>
      </c>
      <c r="V288" s="114">
        <f t="shared" si="79"/>
        <v>827687.34</v>
      </c>
      <c r="W288" s="71">
        <v>2017</v>
      </c>
      <c r="X288" s="71">
        <v>2017</v>
      </c>
      <c r="Y288" s="72" t="s">
        <v>433</v>
      </c>
      <c r="Z288" s="71">
        <v>5</v>
      </c>
    </row>
    <row r="289" spans="1:26" s="24" customFormat="1" ht="17.25" customHeight="1">
      <c r="A289" s="71">
        <f t="shared" si="80"/>
        <v>251</v>
      </c>
      <c r="B289" s="72" t="s">
        <v>428</v>
      </c>
      <c r="C289" s="51">
        <v>1969</v>
      </c>
      <c r="D289" s="222">
        <v>4061.8</v>
      </c>
      <c r="E289" s="243">
        <v>3681.9</v>
      </c>
      <c r="F289" s="54">
        <f t="shared" si="78"/>
        <v>923788.71000000008</v>
      </c>
      <c r="G289" s="53">
        <f>ROUND(250.9*$E289/107*100,2)</f>
        <v>863353.93</v>
      </c>
      <c r="H289" s="53">
        <f t="shared" si="81"/>
        <v>234.48598006464056</v>
      </c>
      <c r="I289" s="53">
        <v>0</v>
      </c>
      <c r="J289" s="53">
        <v>0</v>
      </c>
      <c r="K289" s="53">
        <v>0</v>
      </c>
      <c r="L289" s="53">
        <v>0</v>
      </c>
      <c r="M289" s="53">
        <v>0</v>
      </c>
      <c r="N289" s="53">
        <v>0</v>
      </c>
      <c r="O289" s="53">
        <v>0</v>
      </c>
      <c r="P289" s="53">
        <v>0</v>
      </c>
      <c r="Q289" s="53">
        <v>0</v>
      </c>
      <c r="R289" s="53">
        <f>ROUND(250.9*$E289/107*7,2)</f>
        <v>60434.78</v>
      </c>
      <c r="S289" s="53">
        <v>0</v>
      </c>
      <c r="T289" s="53">
        <v>0</v>
      </c>
      <c r="U289" s="53">
        <v>0</v>
      </c>
      <c r="V289" s="114">
        <f t="shared" si="79"/>
        <v>923788.71000000008</v>
      </c>
      <c r="W289" s="71">
        <v>2017</v>
      </c>
      <c r="X289" s="71">
        <v>2017</v>
      </c>
      <c r="Y289" s="186" t="s">
        <v>434</v>
      </c>
      <c r="Z289" s="71">
        <v>9</v>
      </c>
    </row>
    <row r="290" spans="1:26" s="24" customFormat="1" ht="17.25" customHeight="1">
      <c r="A290" s="71">
        <f t="shared" si="80"/>
        <v>252</v>
      </c>
      <c r="B290" s="72" t="s">
        <v>429</v>
      </c>
      <c r="C290" s="71">
        <v>1987</v>
      </c>
      <c r="D290" s="222">
        <v>3017.5</v>
      </c>
      <c r="E290" s="243">
        <v>2609.6</v>
      </c>
      <c r="F290" s="54">
        <f t="shared" si="78"/>
        <v>654748.64</v>
      </c>
      <c r="G290" s="53">
        <f>ROUND(250.9*$E290/107*100,2)</f>
        <v>611914.62</v>
      </c>
      <c r="H290" s="53">
        <f t="shared" si="81"/>
        <v>234.48598252605763</v>
      </c>
      <c r="I290" s="53">
        <v>0</v>
      </c>
      <c r="J290" s="53">
        <v>0</v>
      </c>
      <c r="K290" s="53">
        <v>0</v>
      </c>
      <c r="L290" s="53">
        <v>0</v>
      </c>
      <c r="M290" s="53">
        <v>0</v>
      </c>
      <c r="N290" s="53">
        <v>0</v>
      </c>
      <c r="O290" s="53">
        <v>0</v>
      </c>
      <c r="P290" s="53">
        <v>0</v>
      </c>
      <c r="Q290" s="53">
        <v>0</v>
      </c>
      <c r="R290" s="53">
        <f>ROUND(250.9*$E290/107*7,2)</f>
        <v>42834.02</v>
      </c>
      <c r="S290" s="53">
        <v>0</v>
      </c>
      <c r="T290" s="53">
        <v>0</v>
      </c>
      <c r="U290" s="53">
        <v>0</v>
      </c>
      <c r="V290" s="114">
        <f t="shared" si="79"/>
        <v>654748.64</v>
      </c>
      <c r="W290" s="71">
        <v>2017</v>
      </c>
      <c r="X290" s="71">
        <v>2017</v>
      </c>
      <c r="Y290" s="72" t="s">
        <v>434</v>
      </c>
      <c r="Z290" s="71">
        <v>9</v>
      </c>
    </row>
    <row r="291" spans="1:26" s="24" customFormat="1" ht="17.25" customHeight="1">
      <c r="A291" s="71">
        <f t="shared" si="80"/>
        <v>253</v>
      </c>
      <c r="B291" s="72" t="s">
        <v>430</v>
      </c>
      <c r="C291" s="71">
        <v>1977</v>
      </c>
      <c r="D291" s="222">
        <v>1545.2</v>
      </c>
      <c r="E291" s="243">
        <v>1321.6</v>
      </c>
      <c r="F291" s="54">
        <f t="shared" si="78"/>
        <v>684641.66</v>
      </c>
      <c r="G291" s="48">
        <f>ROUND(518.04*$E291,2)</f>
        <v>684641.66</v>
      </c>
      <c r="H291" s="53">
        <f t="shared" si="81"/>
        <v>518.03999697336565</v>
      </c>
      <c r="I291" s="53">
        <v>0</v>
      </c>
      <c r="J291" s="53">
        <v>0</v>
      </c>
      <c r="K291" s="53">
        <v>0</v>
      </c>
      <c r="L291" s="53">
        <v>0</v>
      </c>
      <c r="M291" s="53">
        <v>0</v>
      </c>
      <c r="N291" s="53">
        <v>0</v>
      </c>
      <c r="O291" s="53">
        <v>0</v>
      </c>
      <c r="P291" s="53">
        <v>0</v>
      </c>
      <c r="Q291" s="53">
        <v>0</v>
      </c>
      <c r="R291" s="53">
        <v>0</v>
      </c>
      <c r="S291" s="53">
        <v>0</v>
      </c>
      <c r="T291" s="53">
        <v>0</v>
      </c>
      <c r="U291" s="53">
        <v>0</v>
      </c>
      <c r="V291" s="114">
        <f t="shared" si="79"/>
        <v>684641.66</v>
      </c>
      <c r="W291" s="71">
        <v>2017</v>
      </c>
      <c r="X291" s="71">
        <v>2017</v>
      </c>
      <c r="Y291" s="72" t="s">
        <v>434</v>
      </c>
      <c r="Z291" s="71">
        <v>3</v>
      </c>
    </row>
    <row r="292" spans="1:26" s="24" customFormat="1" ht="17.25" customHeight="1">
      <c r="A292" s="71">
        <f t="shared" si="80"/>
        <v>254</v>
      </c>
      <c r="B292" s="72" t="s">
        <v>431</v>
      </c>
      <c r="C292" s="71">
        <v>1981</v>
      </c>
      <c r="D292" s="222">
        <v>2380.1</v>
      </c>
      <c r="E292" s="243">
        <v>2074.1</v>
      </c>
      <c r="F292" s="54">
        <f t="shared" si="78"/>
        <v>2051803.43</v>
      </c>
      <c r="G292" s="53">
        <f>ROUND((493.96+495.29)*$E292,2)</f>
        <v>2051803.43</v>
      </c>
      <c r="H292" s="53">
        <f t="shared" si="81"/>
        <v>989.25000241068415</v>
      </c>
      <c r="I292" s="53">
        <v>0</v>
      </c>
      <c r="J292" s="53">
        <v>0</v>
      </c>
      <c r="K292" s="53">
        <v>0</v>
      </c>
      <c r="L292" s="53">
        <v>0</v>
      </c>
      <c r="M292" s="53">
        <v>0</v>
      </c>
      <c r="N292" s="53">
        <v>0</v>
      </c>
      <c r="O292" s="53">
        <v>0</v>
      </c>
      <c r="P292" s="53">
        <v>0</v>
      </c>
      <c r="Q292" s="53">
        <v>0</v>
      </c>
      <c r="R292" s="53">
        <v>0</v>
      </c>
      <c r="S292" s="53">
        <v>0</v>
      </c>
      <c r="T292" s="53">
        <v>0</v>
      </c>
      <c r="U292" s="53">
        <v>0</v>
      </c>
      <c r="V292" s="114">
        <f t="shared" si="79"/>
        <v>2051803.43</v>
      </c>
      <c r="W292" s="71">
        <v>2017</v>
      </c>
      <c r="X292" s="71">
        <v>2017</v>
      </c>
      <c r="Y292" s="72" t="s">
        <v>433</v>
      </c>
      <c r="Z292" s="71">
        <v>5</v>
      </c>
    </row>
    <row r="293" spans="1:26" s="24" customFormat="1" ht="17.25" customHeight="1">
      <c r="A293" s="71">
        <f t="shared" si="80"/>
        <v>255</v>
      </c>
      <c r="B293" s="72" t="s">
        <v>432</v>
      </c>
      <c r="C293" s="71">
        <v>1970</v>
      </c>
      <c r="D293" s="222">
        <v>4203.8999999999996</v>
      </c>
      <c r="E293" s="243">
        <v>3951.2</v>
      </c>
      <c r="F293" s="54">
        <f t="shared" si="78"/>
        <v>3485353.52</v>
      </c>
      <c r="G293" s="53">
        <v>0</v>
      </c>
      <c r="H293" s="53">
        <f t="shared" si="81"/>
        <v>0</v>
      </c>
      <c r="I293" s="53">
        <v>0</v>
      </c>
      <c r="J293" s="53">
        <v>0</v>
      </c>
      <c r="K293" s="53">
        <v>0</v>
      </c>
      <c r="L293" s="53">
        <v>0</v>
      </c>
      <c r="M293" s="53">
        <v>0</v>
      </c>
      <c r="N293" s="53">
        <f>ROUND(882.1*E293,2)</f>
        <v>3485353.52</v>
      </c>
      <c r="O293" s="53">
        <f>N293/E293</f>
        <v>882.1</v>
      </c>
      <c r="P293" s="53">
        <v>0</v>
      </c>
      <c r="Q293" s="53">
        <v>0</v>
      </c>
      <c r="R293" s="53">
        <v>0</v>
      </c>
      <c r="S293" s="53">
        <v>0</v>
      </c>
      <c r="T293" s="53">
        <v>0</v>
      </c>
      <c r="U293" s="53">
        <v>0</v>
      </c>
      <c r="V293" s="114">
        <f t="shared" si="79"/>
        <v>3485353.52</v>
      </c>
      <c r="W293" s="71">
        <v>2017</v>
      </c>
      <c r="X293" s="71">
        <v>2017</v>
      </c>
      <c r="Y293" s="72" t="s">
        <v>434</v>
      </c>
      <c r="Z293" s="71">
        <v>5</v>
      </c>
    </row>
    <row r="294" spans="1:26" s="24" customFormat="1" ht="17.25" customHeight="1">
      <c r="A294" s="71">
        <f t="shared" si="80"/>
        <v>256</v>
      </c>
      <c r="B294" s="72" t="s">
        <v>421</v>
      </c>
      <c r="C294" s="71">
        <v>1972</v>
      </c>
      <c r="D294" s="222">
        <v>4927.2</v>
      </c>
      <c r="E294" s="243">
        <v>4698.5</v>
      </c>
      <c r="F294" s="54">
        <f t="shared" si="78"/>
        <v>4144546.85</v>
      </c>
      <c r="G294" s="53">
        <v>0</v>
      </c>
      <c r="H294" s="53">
        <f t="shared" si="81"/>
        <v>0</v>
      </c>
      <c r="I294" s="53">
        <v>0</v>
      </c>
      <c r="J294" s="53">
        <v>0</v>
      </c>
      <c r="K294" s="53">
        <v>0</v>
      </c>
      <c r="L294" s="53">
        <v>0</v>
      </c>
      <c r="M294" s="53">
        <v>0</v>
      </c>
      <c r="N294" s="53">
        <f>ROUND(882.1*E294,2)</f>
        <v>4144546.85</v>
      </c>
      <c r="O294" s="53">
        <f>N294/E294</f>
        <v>882.1</v>
      </c>
      <c r="P294" s="53">
        <v>0</v>
      </c>
      <c r="Q294" s="53">
        <v>0</v>
      </c>
      <c r="R294" s="53">
        <v>0</v>
      </c>
      <c r="S294" s="53">
        <v>0</v>
      </c>
      <c r="T294" s="53">
        <v>0</v>
      </c>
      <c r="U294" s="53">
        <v>0</v>
      </c>
      <c r="V294" s="114">
        <f t="shared" si="79"/>
        <v>4144546.85</v>
      </c>
      <c r="W294" s="71">
        <v>2017</v>
      </c>
      <c r="X294" s="71">
        <v>2017</v>
      </c>
      <c r="Y294" s="72" t="s">
        <v>434</v>
      </c>
      <c r="Z294" s="71">
        <v>5</v>
      </c>
    </row>
    <row r="295" spans="1:26" s="24" customFormat="1" ht="17.25" customHeight="1">
      <c r="A295" s="71">
        <f t="shared" si="80"/>
        <v>257</v>
      </c>
      <c r="B295" s="26" t="s">
        <v>26</v>
      </c>
      <c r="C295" s="240">
        <v>1989</v>
      </c>
      <c r="D295" s="245">
        <v>5304.1</v>
      </c>
      <c r="E295" s="248">
        <v>4379.6000000000004</v>
      </c>
      <c r="F295" s="54">
        <f t="shared" si="78"/>
        <v>2668840.65</v>
      </c>
      <c r="G295" s="53">
        <v>0</v>
      </c>
      <c r="H295" s="53">
        <f t="shared" si="81"/>
        <v>0</v>
      </c>
      <c r="I295" s="53">
        <v>0</v>
      </c>
      <c r="J295" s="47">
        <f>ROUND(609.38*E295,2)</f>
        <v>2668840.65</v>
      </c>
      <c r="K295" s="53">
        <f>J295/E295</f>
        <v>609.38000045666263</v>
      </c>
      <c r="L295" s="53">
        <v>0</v>
      </c>
      <c r="M295" s="53">
        <v>0</v>
      </c>
      <c r="N295" s="53">
        <v>0</v>
      </c>
      <c r="O295" s="53">
        <v>0</v>
      </c>
      <c r="P295" s="53">
        <v>0</v>
      </c>
      <c r="Q295" s="53">
        <v>0</v>
      </c>
      <c r="R295" s="53">
        <v>0</v>
      </c>
      <c r="S295" s="53">
        <v>0</v>
      </c>
      <c r="T295" s="53">
        <v>0</v>
      </c>
      <c r="U295" s="53">
        <v>0</v>
      </c>
      <c r="V295" s="114">
        <f t="shared" si="79"/>
        <v>2668840.65</v>
      </c>
      <c r="W295" s="71">
        <v>2017</v>
      </c>
      <c r="X295" s="71">
        <v>2017</v>
      </c>
      <c r="Y295" s="26" t="s">
        <v>433</v>
      </c>
      <c r="Z295" s="240">
        <v>9</v>
      </c>
    </row>
    <row r="296" spans="1:26" s="24" customFormat="1" ht="17.25" customHeight="1">
      <c r="A296" s="71">
        <f t="shared" si="80"/>
        <v>258</v>
      </c>
      <c r="B296" s="72" t="s">
        <v>440</v>
      </c>
      <c r="C296" s="71">
        <v>1969</v>
      </c>
      <c r="D296" s="222">
        <v>4553.1000000000004</v>
      </c>
      <c r="E296" s="222">
        <v>4115.8999999999996</v>
      </c>
      <c r="F296" s="54">
        <f t="shared" si="78"/>
        <v>4076757.79</v>
      </c>
      <c r="G296" s="53">
        <f>ROUND((151+321.45+518.04)*$E296,2)</f>
        <v>4076757.79</v>
      </c>
      <c r="H296" s="53">
        <f t="shared" si="81"/>
        <v>990.48999975703987</v>
      </c>
      <c r="I296" s="53">
        <v>0</v>
      </c>
      <c r="J296" s="53">
        <v>0</v>
      </c>
      <c r="K296" s="53">
        <v>0</v>
      </c>
      <c r="L296" s="53">
        <v>0</v>
      </c>
      <c r="M296" s="53">
        <v>0</v>
      </c>
      <c r="N296" s="53">
        <v>0</v>
      </c>
      <c r="O296" s="53">
        <v>0</v>
      </c>
      <c r="P296" s="53">
        <v>0</v>
      </c>
      <c r="Q296" s="53">
        <v>0</v>
      </c>
      <c r="R296" s="53"/>
      <c r="S296" s="53">
        <v>0</v>
      </c>
      <c r="T296" s="53">
        <v>0</v>
      </c>
      <c r="U296" s="53">
        <v>0</v>
      </c>
      <c r="V296" s="114">
        <f t="shared" si="79"/>
        <v>4076757.79</v>
      </c>
      <c r="W296" s="71">
        <v>2017</v>
      </c>
      <c r="X296" s="71">
        <v>2017</v>
      </c>
      <c r="Y296" s="72" t="s">
        <v>434</v>
      </c>
      <c r="Z296" s="71">
        <v>5</v>
      </c>
    </row>
    <row r="297" spans="1:26" s="24" customFormat="1" ht="17.25" customHeight="1">
      <c r="A297" s="71">
        <f t="shared" si="80"/>
        <v>259</v>
      </c>
      <c r="B297" s="72" t="s">
        <v>441</v>
      </c>
      <c r="C297" s="71">
        <v>1957</v>
      </c>
      <c r="D297" s="222">
        <v>1767.2</v>
      </c>
      <c r="E297" s="222">
        <v>1647.9</v>
      </c>
      <c r="F297" s="54">
        <f t="shared" si="78"/>
        <v>2446225.16</v>
      </c>
      <c r="G297" s="49">
        <f>ROUND((493.96+151+321.45+518.04)*E297,2)</f>
        <v>2446225.16</v>
      </c>
      <c r="H297" s="53">
        <f t="shared" si="81"/>
        <v>1484.4500030341646</v>
      </c>
      <c r="I297" s="54">
        <v>0</v>
      </c>
      <c r="J297" s="53">
        <v>0</v>
      </c>
      <c r="K297" s="54">
        <f>J297/E297</f>
        <v>0</v>
      </c>
      <c r="L297" s="53">
        <v>0</v>
      </c>
      <c r="M297" s="49"/>
      <c r="N297" s="53">
        <v>0</v>
      </c>
      <c r="O297" s="54">
        <f>N297/E297</f>
        <v>0</v>
      </c>
      <c r="P297" s="53">
        <v>0</v>
      </c>
      <c r="Q297" s="53"/>
      <c r="R297" s="53">
        <v>0</v>
      </c>
      <c r="S297" s="53">
        <v>0</v>
      </c>
      <c r="T297" s="53">
        <v>0</v>
      </c>
      <c r="U297" s="53">
        <v>0</v>
      </c>
      <c r="V297" s="114">
        <f t="shared" si="79"/>
        <v>2446225.16</v>
      </c>
      <c r="W297" s="71">
        <v>2017</v>
      </c>
      <c r="X297" s="71">
        <v>2017</v>
      </c>
      <c r="Y297" s="72" t="s">
        <v>434</v>
      </c>
      <c r="Z297" s="71">
        <v>3</v>
      </c>
    </row>
    <row r="298" spans="1:26" s="24" customFormat="1" ht="17.25" customHeight="1">
      <c r="A298" s="71">
        <f t="shared" si="80"/>
        <v>260</v>
      </c>
      <c r="B298" s="256" t="s">
        <v>444</v>
      </c>
      <c r="C298" s="252">
        <v>1984</v>
      </c>
      <c r="D298" s="257">
        <v>4357.2</v>
      </c>
      <c r="E298" s="258">
        <v>3953.2</v>
      </c>
      <c r="F298" s="54">
        <f t="shared" si="78"/>
        <v>3487117.72</v>
      </c>
      <c r="G298" s="53">
        <v>0</v>
      </c>
      <c r="H298" s="53">
        <f>G298/E298</f>
        <v>0</v>
      </c>
      <c r="I298" s="54">
        <v>0</v>
      </c>
      <c r="J298" s="53">
        <v>0</v>
      </c>
      <c r="K298" s="54">
        <f>J298/E298</f>
        <v>0</v>
      </c>
      <c r="L298" s="53">
        <v>0</v>
      </c>
      <c r="M298" s="49"/>
      <c r="N298" s="53">
        <f>ROUND(882.1*E298,2)</f>
        <v>3487117.72</v>
      </c>
      <c r="O298" s="53">
        <f>N298/E298</f>
        <v>882.10000000000014</v>
      </c>
      <c r="P298" s="53">
        <v>0</v>
      </c>
      <c r="Q298" s="53"/>
      <c r="R298" s="53">
        <v>0</v>
      </c>
      <c r="S298" s="53">
        <v>0</v>
      </c>
      <c r="T298" s="53">
        <v>0</v>
      </c>
      <c r="U298" s="53">
        <v>0</v>
      </c>
      <c r="V298" s="114">
        <f>F298</f>
        <v>3487117.72</v>
      </c>
      <c r="W298" s="71">
        <v>2017</v>
      </c>
      <c r="X298" s="71">
        <v>2017</v>
      </c>
      <c r="Y298" s="260" t="s">
        <v>434</v>
      </c>
      <c r="Z298" s="259">
        <v>5</v>
      </c>
    </row>
    <row r="299" spans="1:26" ht="17.25" customHeight="1">
      <c r="A299" s="352" t="s">
        <v>280</v>
      </c>
      <c r="B299" s="353"/>
      <c r="C299" s="57"/>
      <c r="D299" s="70">
        <f>SUM(D273:D298)</f>
        <v>120745.29999999999</v>
      </c>
      <c r="E299" s="70">
        <f>SUM(E273:E298)</f>
        <v>106686.29999999999</v>
      </c>
      <c r="F299" s="56">
        <f>SUM(F273:F298)</f>
        <v>83488683.400000006</v>
      </c>
      <c r="G299" s="56">
        <f t="shared" ref="G299:U299" si="82">SUM(G273:G298)</f>
        <v>20646741.439999998</v>
      </c>
      <c r="H299" s="56"/>
      <c r="I299" s="56">
        <f t="shared" si="82"/>
        <v>48258971.280000001</v>
      </c>
      <c r="J299" s="56">
        <f t="shared" si="82"/>
        <v>2668840.65</v>
      </c>
      <c r="K299" s="56"/>
      <c r="L299" s="56">
        <f t="shared" si="82"/>
        <v>0</v>
      </c>
      <c r="M299" s="56">
        <f t="shared" si="82"/>
        <v>0</v>
      </c>
      <c r="N299" s="56">
        <f t="shared" si="82"/>
        <v>11117018.09</v>
      </c>
      <c r="O299" s="56"/>
      <c r="P299" s="56">
        <f t="shared" si="82"/>
        <v>0</v>
      </c>
      <c r="Q299" s="56">
        <f t="shared" si="82"/>
        <v>0</v>
      </c>
      <c r="R299" s="56">
        <f t="shared" si="82"/>
        <v>797111.94000000006</v>
      </c>
      <c r="S299" s="56">
        <f t="shared" si="82"/>
        <v>0</v>
      </c>
      <c r="T299" s="56">
        <f t="shared" si="82"/>
        <v>0</v>
      </c>
      <c r="U299" s="56">
        <f t="shared" si="82"/>
        <v>0</v>
      </c>
      <c r="V299" s="113">
        <f>SUM(V273:V298)</f>
        <v>83488683.400000006</v>
      </c>
      <c r="W299" s="22" t="s">
        <v>117</v>
      </c>
      <c r="X299" s="22" t="s">
        <v>117</v>
      </c>
    </row>
    <row r="300" spans="1:26" ht="17.25" customHeight="1">
      <c r="A300" s="354" t="s">
        <v>68</v>
      </c>
      <c r="B300" s="355"/>
      <c r="C300" s="355"/>
      <c r="D300" s="355"/>
      <c r="E300" s="355"/>
      <c r="F300" s="355"/>
      <c r="G300" s="355"/>
      <c r="H300" s="355"/>
      <c r="I300" s="355"/>
      <c r="J300" s="355"/>
      <c r="K300" s="355"/>
      <c r="L300" s="355"/>
      <c r="M300" s="355"/>
      <c r="N300" s="355"/>
      <c r="O300" s="355"/>
      <c r="P300" s="355"/>
      <c r="Q300" s="355"/>
      <c r="R300" s="355"/>
      <c r="S300" s="355"/>
      <c r="T300" s="355"/>
      <c r="U300" s="355"/>
      <c r="V300" s="360"/>
      <c r="W300" s="38"/>
      <c r="X300" s="38"/>
    </row>
    <row r="301" spans="1:26" ht="17.25" customHeight="1">
      <c r="A301" s="354" t="s">
        <v>69</v>
      </c>
      <c r="B301" s="369"/>
      <c r="C301" s="355"/>
      <c r="D301" s="355"/>
      <c r="E301" s="355"/>
      <c r="F301" s="355"/>
      <c r="G301" s="355"/>
      <c r="H301" s="355"/>
      <c r="I301" s="355"/>
      <c r="J301" s="355"/>
      <c r="K301" s="355"/>
      <c r="L301" s="355"/>
      <c r="M301" s="355"/>
      <c r="N301" s="355"/>
      <c r="O301" s="355"/>
      <c r="P301" s="355"/>
      <c r="Q301" s="355"/>
      <c r="R301" s="355"/>
      <c r="S301" s="355"/>
      <c r="T301" s="355"/>
      <c r="U301" s="355"/>
      <c r="V301" s="360"/>
      <c r="W301" s="38"/>
      <c r="X301" s="38"/>
    </row>
    <row r="302" spans="1:26" ht="17.25" customHeight="1">
      <c r="A302" s="71">
        <f>A297+1</f>
        <v>260</v>
      </c>
      <c r="B302" s="321" t="s">
        <v>287</v>
      </c>
      <c r="C302" s="322">
        <v>1980</v>
      </c>
      <c r="D302" s="280">
        <v>3953.2</v>
      </c>
      <c r="E302" s="291">
        <v>3607.13</v>
      </c>
      <c r="F302" s="54">
        <f>G302+I302+J302+L302+N302+P302+R302</f>
        <v>817267.44</v>
      </c>
      <c r="G302" s="53">
        <v>0</v>
      </c>
      <c r="H302" s="53"/>
      <c r="I302" s="53">
        <v>0</v>
      </c>
      <c r="J302" s="33">
        <v>0</v>
      </c>
      <c r="K302" s="53">
        <f>J302/E302</f>
        <v>0</v>
      </c>
      <c r="L302" s="53">
        <v>0</v>
      </c>
      <c r="M302" s="53">
        <v>0</v>
      </c>
      <c r="N302" s="53">
        <f>ROUND(226.57*E302,2)</f>
        <v>817267.44</v>
      </c>
      <c r="O302" s="53">
        <f>N302/E302</f>
        <v>226.56999886336226</v>
      </c>
      <c r="P302" s="53">
        <v>0</v>
      </c>
      <c r="Q302" s="53"/>
      <c r="R302" s="53">
        <v>0</v>
      </c>
      <c r="S302" s="53">
        <v>0</v>
      </c>
      <c r="T302" s="53">
        <v>0</v>
      </c>
      <c r="U302" s="53">
        <v>0</v>
      </c>
      <c r="V302" s="114">
        <f>F302</f>
        <v>817267.44</v>
      </c>
      <c r="W302" s="71">
        <v>2017</v>
      </c>
      <c r="X302" s="71">
        <v>2017</v>
      </c>
      <c r="Y302" s="323" t="s">
        <v>289</v>
      </c>
      <c r="Z302" s="323">
        <v>5</v>
      </c>
    </row>
    <row r="303" spans="1:26" ht="17.25" customHeight="1">
      <c r="A303" s="71">
        <f>A302+1</f>
        <v>261</v>
      </c>
      <c r="B303" s="321" t="s">
        <v>288</v>
      </c>
      <c r="C303" s="322">
        <v>1974</v>
      </c>
      <c r="D303" s="324">
        <v>4691.3999999999996</v>
      </c>
      <c r="E303" s="324">
        <v>3421.3</v>
      </c>
      <c r="F303" s="54">
        <f>G303+I303+J303+L303+N303+P303+R303</f>
        <v>3177224.46</v>
      </c>
      <c r="G303" s="53">
        <v>0</v>
      </c>
      <c r="H303" s="53"/>
      <c r="I303" s="53">
        <v>0</v>
      </c>
      <c r="J303" s="33">
        <f>ROUND(928.66*E303,2)</f>
        <v>3177224.46</v>
      </c>
      <c r="K303" s="53">
        <f>J303/E303</f>
        <v>928.66000058457303</v>
      </c>
      <c r="L303" s="53">
        <v>0</v>
      </c>
      <c r="M303" s="53"/>
      <c r="N303" s="76">
        <v>0</v>
      </c>
      <c r="O303" s="53"/>
      <c r="P303" s="53">
        <v>0</v>
      </c>
      <c r="Q303" s="53"/>
      <c r="R303" s="53">
        <v>0</v>
      </c>
      <c r="S303" s="53">
        <v>0</v>
      </c>
      <c r="T303" s="53">
        <v>0</v>
      </c>
      <c r="U303" s="53">
        <v>0</v>
      </c>
      <c r="V303" s="114">
        <f>F303</f>
        <v>3177224.46</v>
      </c>
      <c r="W303" s="71">
        <v>2017</v>
      </c>
      <c r="X303" s="71">
        <v>2017</v>
      </c>
      <c r="Y303" s="323" t="s">
        <v>289</v>
      </c>
      <c r="Z303" s="323">
        <v>5</v>
      </c>
    </row>
    <row r="304" spans="1:26" ht="17.25" customHeight="1">
      <c r="A304" s="352" t="s">
        <v>280</v>
      </c>
      <c r="B304" s="353"/>
      <c r="C304" s="57"/>
      <c r="D304" s="70">
        <f>SUM(D302:D303)</f>
        <v>8644.5999999999985</v>
      </c>
      <c r="E304" s="113">
        <f>SUM(E302:E303)</f>
        <v>7028.43</v>
      </c>
      <c r="F304" s="56">
        <f>SUM(F302:F303)</f>
        <v>3994491.9</v>
      </c>
      <c r="G304" s="50">
        <f>SUM(G302:G303)</f>
        <v>0</v>
      </c>
      <c r="H304" s="50"/>
      <c r="I304" s="50">
        <f>SUM(I302:I303)</f>
        <v>0</v>
      </c>
      <c r="J304" s="50">
        <f>SUM(J302:J303)</f>
        <v>3177224.46</v>
      </c>
      <c r="K304" s="50"/>
      <c r="L304" s="50">
        <f>SUM(L302:L303)</f>
        <v>0</v>
      </c>
      <c r="M304" s="50"/>
      <c r="N304" s="50">
        <f>SUM(N302:N303)</f>
        <v>817267.44</v>
      </c>
      <c r="O304" s="50"/>
      <c r="P304" s="50">
        <f>SUM(P302:P303)</f>
        <v>0</v>
      </c>
      <c r="Q304" s="50"/>
      <c r="R304" s="50">
        <f>SUM(R302:R303)</f>
        <v>0</v>
      </c>
      <c r="S304" s="50">
        <f>SUM(S302:S303)</f>
        <v>0</v>
      </c>
      <c r="T304" s="50">
        <f>SUM(T302:T303)</f>
        <v>0</v>
      </c>
      <c r="U304" s="50">
        <f>SUM(U302:U303)</f>
        <v>0</v>
      </c>
      <c r="V304" s="113">
        <f>SUM(V302:V303)</f>
        <v>3994491.9</v>
      </c>
      <c r="W304" s="22" t="s">
        <v>117</v>
      </c>
      <c r="X304" s="22" t="s">
        <v>117</v>
      </c>
    </row>
    <row r="305" spans="1:26" ht="17.25" customHeight="1">
      <c r="A305" s="354" t="s">
        <v>71</v>
      </c>
      <c r="B305" s="355"/>
      <c r="C305" s="355"/>
      <c r="D305" s="355"/>
      <c r="E305" s="355"/>
      <c r="F305" s="355"/>
      <c r="G305" s="355"/>
      <c r="H305" s="355"/>
      <c r="I305" s="355"/>
      <c r="J305" s="355"/>
      <c r="K305" s="355"/>
      <c r="L305" s="355"/>
      <c r="M305" s="355"/>
      <c r="N305" s="355"/>
      <c r="O305" s="355"/>
      <c r="P305" s="355"/>
      <c r="Q305" s="355"/>
      <c r="R305" s="355"/>
      <c r="S305" s="355"/>
      <c r="T305" s="355"/>
      <c r="U305" s="355"/>
      <c r="V305" s="360"/>
      <c r="W305" s="38"/>
      <c r="X305" s="38"/>
    </row>
    <row r="306" spans="1:26" s="24" customFormat="1" ht="17.25" customHeight="1">
      <c r="A306" s="51">
        <f>A303+1</f>
        <v>262</v>
      </c>
      <c r="B306" s="151" t="s">
        <v>303</v>
      </c>
      <c r="C306" s="160">
        <v>1970</v>
      </c>
      <c r="D306" s="161">
        <v>373</v>
      </c>
      <c r="E306" s="161">
        <v>345.4</v>
      </c>
      <c r="F306" s="54">
        <f>G306+I306+J306+L306+N306+P306+R306</f>
        <v>1230408.06</v>
      </c>
      <c r="G306" s="53">
        <v>0</v>
      </c>
      <c r="H306" s="53"/>
      <c r="I306" s="53">
        <v>0</v>
      </c>
      <c r="J306" s="53">
        <f>ROUND(3562.27*E306,2)</f>
        <v>1230408.06</v>
      </c>
      <c r="K306" s="53">
        <f>J306/E306</f>
        <v>3562.2700057903885</v>
      </c>
      <c r="L306" s="53">
        <v>0</v>
      </c>
      <c r="M306" s="53"/>
      <c r="N306" s="53">
        <v>0</v>
      </c>
      <c r="O306" s="53"/>
      <c r="P306" s="53">
        <v>0</v>
      </c>
      <c r="Q306" s="53"/>
      <c r="R306" s="53">
        <v>0</v>
      </c>
      <c r="S306" s="53">
        <v>0</v>
      </c>
      <c r="T306" s="53">
        <v>0</v>
      </c>
      <c r="U306" s="53">
        <v>0</v>
      </c>
      <c r="V306" s="111">
        <f>F306</f>
        <v>1230408.06</v>
      </c>
      <c r="W306" s="71">
        <v>2017</v>
      </c>
      <c r="X306" s="71">
        <v>2017</v>
      </c>
      <c r="Y306" s="151" t="s">
        <v>167</v>
      </c>
      <c r="Z306" s="151" t="s">
        <v>16</v>
      </c>
    </row>
    <row r="307" spans="1:26" s="24" customFormat="1" ht="17.25" customHeight="1">
      <c r="A307" s="51">
        <f>A306+1</f>
        <v>263</v>
      </c>
      <c r="B307" s="151" t="s">
        <v>304</v>
      </c>
      <c r="C307" s="160">
        <v>1973</v>
      </c>
      <c r="D307" s="161">
        <v>430.9</v>
      </c>
      <c r="E307" s="161">
        <v>401.5</v>
      </c>
      <c r="F307" s="54">
        <f t="shared" ref="F307:F311" si="83">G307+I307+J307+L307+N307+P307+R307</f>
        <v>1430251.41</v>
      </c>
      <c r="G307" s="53">
        <v>0</v>
      </c>
      <c r="H307" s="53"/>
      <c r="I307" s="53">
        <v>0</v>
      </c>
      <c r="J307" s="53">
        <f>ROUND(3562.27*E307,2)</f>
        <v>1430251.41</v>
      </c>
      <c r="K307" s="53">
        <f t="shared" ref="K307:K311" si="84">J307/E307</f>
        <v>3562.2700124532998</v>
      </c>
      <c r="L307" s="53">
        <v>0</v>
      </c>
      <c r="M307" s="53"/>
      <c r="N307" s="53">
        <v>0</v>
      </c>
      <c r="O307" s="53"/>
      <c r="P307" s="53">
        <v>0</v>
      </c>
      <c r="Q307" s="53"/>
      <c r="R307" s="53">
        <v>0</v>
      </c>
      <c r="S307" s="53">
        <v>0</v>
      </c>
      <c r="T307" s="53">
        <v>0</v>
      </c>
      <c r="U307" s="53">
        <v>0</v>
      </c>
      <c r="V307" s="111">
        <f t="shared" ref="V307:V311" si="85">F307</f>
        <v>1430251.41</v>
      </c>
      <c r="W307" s="71">
        <v>2017</v>
      </c>
      <c r="X307" s="71">
        <v>2017</v>
      </c>
      <c r="Y307" s="151" t="s">
        <v>167</v>
      </c>
      <c r="Z307" s="151" t="s">
        <v>16</v>
      </c>
    </row>
    <row r="308" spans="1:26" s="24" customFormat="1" ht="17.25" customHeight="1">
      <c r="A308" s="51">
        <f t="shared" ref="A308:A311" si="86">A307+1</f>
        <v>264</v>
      </c>
      <c r="B308" s="151" t="s">
        <v>72</v>
      </c>
      <c r="C308" s="160">
        <v>1950</v>
      </c>
      <c r="D308" s="161">
        <v>433.6</v>
      </c>
      <c r="E308" s="161">
        <v>388.8</v>
      </c>
      <c r="F308" s="54">
        <f t="shared" si="83"/>
        <v>64793.52</v>
      </c>
      <c r="G308" s="53">
        <f>ROUND(166.65*E308,2)</f>
        <v>64793.52</v>
      </c>
      <c r="H308" s="53">
        <f>G308/E308</f>
        <v>166.64999999999998</v>
      </c>
      <c r="I308" s="53">
        <v>0</v>
      </c>
      <c r="J308" s="53">
        <v>0</v>
      </c>
      <c r="K308" s="53">
        <f t="shared" si="84"/>
        <v>0</v>
      </c>
      <c r="L308" s="53">
        <v>0</v>
      </c>
      <c r="M308" s="53"/>
      <c r="N308" s="53">
        <v>0</v>
      </c>
      <c r="O308" s="53"/>
      <c r="P308" s="53">
        <v>0</v>
      </c>
      <c r="Q308" s="53"/>
      <c r="R308" s="53">
        <v>0</v>
      </c>
      <c r="S308" s="53">
        <v>0</v>
      </c>
      <c r="T308" s="53">
        <v>0</v>
      </c>
      <c r="U308" s="53">
        <v>0</v>
      </c>
      <c r="V308" s="111">
        <f t="shared" si="85"/>
        <v>64793.52</v>
      </c>
      <c r="W308" s="71">
        <v>2017</v>
      </c>
      <c r="X308" s="71">
        <v>2017</v>
      </c>
      <c r="Y308" s="151" t="s">
        <v>167</v>
      </c>
      <c r="Z308" s="151" t="s">
        <v>16</v>
      </c>
    </row>
    <row r="309" spans="1:26" s="24" customFormat="1" ht="17.25" customHeight="1">
      <c r="A309" s="51">
        <f t="shared" si="86"/>
        <v>265</v>
      </c>
      <c r="B309" s="151" t="s">
        <v>305</v>
      </c>
      <c r="C309" s="160">
        <v>1967</v>
      </c>
      <c r="D309" s="162">
        <v>1653.4</v>
      </c>
      <c r="E309" s="162">
        <v>1558.1</v>
      </c>
      <c r="F309" s="54">
        <f t="shared" si="83"/>
        <v>2485496.7000000002</v>
      </c>
      <c r="G309" s="53">
        <v>0</v>
      </c>
      <c r="H309" s="53"/>
      <c r="I309" s="53">
        <v>0</v>
      </c>
      <c r="J309" s="53">
        <f>ROUND(1595.21*E309,2)</f>
        <v>2485496.7000000002</v>
      </c>
      <c r="K309" s="53">
        <f t="shared" si="84"/>
        <v>1595.2099993581928</v>
      </c>
      <c r="L309" s="53">
        <v>0</v>
      </c>
      <c r="M309" s="53"/>
      <c r="N309" s="53">
        <v>0</v>
      </c>
      <c r="O309" s="53"/>
      <c r="P309" s="53">
        <v>0</v>
      </c>
      <c r="Q309" s="53"/>
      <c r="R309" s="53">
        <v>0</v>
      </c>
      <c r="S309" s="53">
        <v>0</v>
      </c>
      <c r="T309" s="53">
        <v>0</v>
      </c>
      <c r="U309" s="53">
        <v>0</v>
      </c>
      <c r="V309" s="111">
        <f t="shared" si="85"/>
        <v>2485496.7000000002</v>
      </c>
      <c r="W309" s="71">
        <v>2017</v>
      </c>
      <c r="X309" s="71">
        <v>2017</v>
      </c>
      <c r="Y309" s="151" t="s">
        <v>307</v>
      </c>
      <c r="Z309" s="151">
        <v>4</v>
      </c>
    </row>
    <row r="310" spans="1:26" s="24" customFormat="1" ht="17.25" customHeight="1">
      <c r="A310" s="51">
        <f t="shared" si="86"/>
        <v>266</v>
      </c>
      <c r="B310" s="151" t="s">
        <v>302</v>
      </c>
      <c r="C310" s="160">
        <v>1966</v>
      </c>
      <c r="D310" s="161">
        <v>784.4</v>
      </c>
      <c r="E310" s="161">
        <v>725.5</v>
      </c>
      <c r="F310" s="54">
        <f t="shared" si="83"/>
        <v>1157324.8600000001</v>
      </c>
      <c r="G310" s="53">
        <v>0</v>
      </c>
      <c r="H310" s="53"/>
      <c r="I310" s="53">
        <v>0</v>
      </c>
      <c r="J310" s="53">
        <f>ROUND(1595.21*E310,2)</f>
        <v>1157324.8600000001</v>
      </c>
      <c r="K310" s="53">
        <f t="shared" si="84"/>
        <v>1595.2100068917989</v>
      </c>
      <c r="L310" s="53">
        <v>0</v>
      </c>
      <c r="M310" s="53"/>
      <c r="N310" s="53">
        <v>0</v>
      </c>
      <c r="O310" s="53"/>
      <c r="P310" s="53">
        <v>0</v>
      </c>
      <c r="Q310" s="53"/>
      <c r="R310" s="53">
        <v>0</v>
      </c>
      <c r="S310" s="53">
        <v>0</v>
      </c>
      <c r="T310" s="53">
        <v>0</v>
      </c>
      <c r="U310" s="53">
        <v>0</v>
      </c>
      <c r="V310" s="111">
        <f t="shared" si="85"/>
        <v>1157324.8600000001</v>
      </c>
      <c r="W310" s="71">
        <v>2017</v>
      </c>
      <c r="X310" s="71">
        <v>2017</v>
      </c>
      <c r="Y310" s="151" t="s">
        <v>307</v>
      </c>
      <c r="Z310" s="151" t="s">
        <v>16</v>
      </c>
    </row>
    <row r="311" spans="1:26" s="24" customFormat="1" ht="17.25" customHeight="1">
      <c r="A311" s="51">
        <f t="shared" si="86"/>
        <v>267</v>
      </c>
      <c r="B311" s="151" t="s">
        <v>306</v>
      </c>
      <c r="C311" s="160">
        <v>1983</v>
      </c>
      <c r="D311" s="161">
        <v>981.1</v>
      </c>
      <c r="E311" s="161">
        <v>923.3</v>
      </c>
      <c r="F311" s="54">
        <f t="shared" si="83"/>
        <v>1472857.39</v>
      </c>
      <c r="G311" s="53">
        <v>0</v>
      </c>
      <c r="H311" s="53"/>
      <c r="I311" s="53">
        <v>0</v>
      </c>
      <c r="J311" s="53">
        <f>ROUND(1595.21*E311,2)</f>
        <v>1472857.39</v>
      </c>
      <c r="K311" s="53">
        <f t="shared" si="84"/>
        <v>1595.2099967507852</v>
      </c>
      <c r="L311" s="53">
        <v>0</v>
      </c>
      <c r="M311" s="53"/>
      <c r="N311" s="53">
        <v>0</v>
      </c>
      <c r="O311" s="53"/>
      <c r="P311" s="53">
        <v>0</v>
      </c>
      <c r="Q311" s="53"/>
      <c r="R311" s="53">
        <v>0</v>
      </c>
      <c r="S311" s="53">
        <v>0</v>
      </c>
      <c r="T311" s="53">
        <v>0</v>
      </c>
      <c r="U311" s="53">
        <v>0</v>
      </c>
      <c r="V311" s="111">
        <f t="shared" si="85"/>
        <v>1472857.39</v>
      </c>
      <c r="W311" s="71">
        <v>2017</v>
      </c>
      <c r="X311" s="71">
        <v>2017</v>
      </c>
      <c r="Y311" s="151" t="s">
        <v>307</v>
      </c>
      <c r="Z311" s="151" t="s">
        <v>16</v>
      </c>
    </row>
    <row r="312" spans="1:26" ht="17.25" customHeight="1">
      <c r="A312" s="352" t="s">
        <v>280</v>
      </c>
      <c r="B312" s="353"/>
      <c r="C312" s="57"/>
      <c r="D312" s="70">
        <f>SUM(D306:D311)</f>
        <v>4656.4000000000005</v>
      </c>
      <c r="E312" s="70">
        <f>SUM(E306:E311)</f>
        <v>4342.6000000000004</v>
      </c>
      <c r="F312" s="56">
        <f>SUM(F306:F311)</f>
        <v>7841131.9399999995</v>
      </c>
      <c r="G312" s="56">
        <f>SUM(G306:G311)</f>
        <v>64793.52</v>
      </c>
      <c r="H312" s="56"/>
      <c r="I312" s="56">
        <f>SUM(I306:I311)</f>
        <v>0</v>
      </c>
      <c r="J312" s="56">
        <f>SUM(J306:J311)</f>
        <v>7776338.4199999999</v>
      </c>
      <c r="K312" s="56"/>
      <c r="L312" s="56">
        <f t="shared" ref="L312:V312" si="87">SUM(L306:L311)</f>
        <v>0</v>
      </c>
      <c r="M312" s="56">
        <f t="shared" si="87"/>
        <v>0</v>
      </c>
      <c r="N312" s="56">
        <f t="shared" si="87"/>
        <v>0</v>
      </c>
      <c r="O312" s="56">
        <f t="shared" si="87"/>
        <v>0</v>
      </c>
      <c r="P312" s="56">
        <f t="shared" si="87"/>
        <v>0</v>
      </c>
      <c r="Q312" s="56">
        <f t="shared" si="87"/>
        <v>0</v>
      </c>
      <c r="R312" s="56">
        <f t="shared" si="87"/>
        <v>0</v>
      </c>
      <c r="S312" s="56">
        <f t="shared" si="87"/>
        <v>0</v>
      </c>
      <c r="T312" s="56">
        <f t="shared" si="87"/>
        <v>0</v>
      </c>
      <c r="U312" s="56">
        <f t="shared" si="87"/>
        <v>0</v>
      </c>
      <c r="V312" s="113">
        <f t="shared" si="87"/>
        <v>7841131.9399999995</v>
      </c>
      <c r="W312" s="22" t="s">
        <v>117</v>
      </c>
      <c r="X312" s="22" t="s">
        <v>117</v>
      </c>
    </row>
    <row r="313" spans="1:26" ht="17.25" customHeight="1">
      <c r="A313" s="354" t="s">
        <v>75</v>
      </c>
      <c r="B313" s="355"/>
      <c r="C313" s="355"/>
      <c r="D313" s="355"/>
      <c r="E313" s="355"/>
      <c r="F313" s="355"/>
      <c r="G313" s="355"/>
      <c r="H313" s="355"/>
      <c r="I313" s="355"/>
      <c r="J313" s="355"/>
      <c r="K313" s="355"/>
      <c r="L313" s="355"/>
      <c r="M313" s="355"/>
      <c r="N313" s="355"/>
      <c r="O313" s="355"/>
      <c r="P313" s="355"/>
      <c r="Q313" s="355"/>
      <c r="R313" s="355"/>
      <c r="S313" s="355"/>
      <c r="T313" s="355"/>
      <c r="U313" s="355"/>
      <c r="V313" s="360"/>
      <c r="W313" s="38"/>
      <c r="X313" s="38"/>
    </row>
    <row r="314" spans="1:26" s="24" customFormat="1" ht="17.25" customHeight="1">
      <c r="A314" s="51">
        <f>A311+1</f>
        <v>268</v>
      </c>
      <c r="B314" s="151" t="s">
        <v>308</v>
      </c>
      <c r="C314" s="167">
        <v>1976</v>
      </c>
      <c r="D314" s="222">
        <v>4138.8999999999996</v>
      </c>
      <c r="E314" s="222">
        <v>3605.3</v>
      </c>
      <c r="F314" s="54">
        <f t="shared" ref="F314:F320" si="88">G314+I314+J314+L314+N314+P314+R314</f>
        <v>4817041.33</v>
      </c>
      <c r="G314" s="76">
        <f>ROUND((818.06+518.04)*E314,2)</f>
        <v>4817041.33</v>
      </c>
      <c r="H314" s="53">
        <f>G314/E314</f>
        <v>1336.1</v>
      </c>
      <c r="I314" s="76">
        <v>0</v>
      </c>
      <c r="J314" s="76">
        <v>0</v>
      </c>
      <c r="K314" s="76">
        <v>0</v>
      </c>
      <c r="L314" s="76">
        <v>0</v>
      </c>
      <c r="M314" s="76">
        <v>0</v>
      </c>
      <c r="N314" s="76">
        <v>0</v>
      </c>
      <c r="O314" s="76">
        <v>0</v>
      </c>
      <c r="P314" s="76">
        <v>0</v>
      </c>
      <c r="Q314" s="76">
        <v>0</v>
      </c>
      <c r="R314" s="76">
        <v>0</v>
      </c>
      <c r="S314" s="76">
        <v>0</v>
      </c>
      <c r="T314" s="76">
        <v>0</v>
      </c>
      <c r="U314" s="76">
        <v>0</v>
      </c>
      <c r="V314" s="114">
        <f t="shared" ref="V314:V320" si="89">F314</f>
        <v>4817041.33</v>
      </c>
      <c r="W314" s="71">
        <v>2017</v>
      </c>
      <c r="X314" s="71">
        <v>2017</v>
      </c>
      <c r="Y314" s="104" t="s">
        <v>155</v>
      </c>
      <c r="Z314" s="101">
        <v>5</v>
      </c>
    </row>
    <row r="315" spans="1:26" s="24" customFormat="1" ht="17.25" customHeight="1">
      <c r="A315" s="51">
        <f t="shared" ref="A315:A321" si="90">A314+1</f>
        <v>269</v>
      </c>
      <c r="B315" s="151" t="s">
        <v>489</v>
      </c>
      <c r="C315" s="167">
        <v>1937</v>
      </c>
      <c r="D315" s="222">
        <v>2303.5</v>
      </c>
      <c r="E315" s="222">
        <v>2079.5</v>
      </c>
      <c r="F315" s="54">
        <f t="shared" si="88"/>
        <v>6675922.8300000001</v>
      </c>
      <c r="G315" s="76">
        <f>ROUND((215+518.04)*E315,2)</f>
        <v>1524356.68</v>
      </c>
      <c r="H315" s="53">
        <f>G315/E315</f>
        <v>733.04</v>
      </c>
      <c r="I315" s="76">
        <v>0</v>
      </c>
      <c r="J315" s="76">
        <f>ROUND(1595.21*E315,2)</f>
        <v>3317239.2</v>
      </c>
      <c r="K315" s="53">
        <f t="shared" ref="K315:K320" si="91">J315/E315</f>
        <v>1595.2100024044241</v>
      </c>
      <c r="L315" s="76">
        <v>0</v>
      </c>
      <c r="M315" s="76">
        <v>0</v>
      </c>
      <c r="N315" s="76">
        <f>ROUND(882.1*E315,2)</f>
        <v>1834326.95</v>
      </c>
      <c r="O315" s="76">
        <f>N315/E315</f>
        <v>882.1</v>
      </c>
      <c r="P315" s="76">
        <v>0</v>
      </c>
      <c r="Q315" s="76">
        <v>0</v>
      </c>
      <c r="R315" s="76">
        <v>0</v>
      </c>
      <c r="S315" s="76">
        <v>0</v>
      </c>
      <c r="T315" s="76">
        <v>0</v>
      </c>
      <c r="U315" s="76">
        <v>0</v>
      </c>
      <c r="V315" s="114">
        <f t="shared" si="89"/>
        <v>6675922.8300000001</v>
      </c>
      <c r="W315" s="71">
        <v>2017</v>
      </c>
      <c r="X315" s="71">
        <v>2017</v>
      </c>
      <c r="Y315" s="104" t="s">
        <v>155</v>
      </c>
      <c r="Z315" s="101">
        <v>4</v>
      </c>
    </row>
    <row r="316" spans="1:26" s="24" customFormat="1" ht="17.25" customHeight="1">
      <c r="A316" s="51">
        <f t="shared" si="90"/>
        <v>270</v>
      </c>
      <c r="B316" s="151" t="s">
        <v>309</v>
      </c>
      <c r="C316" s="160">
        <v>1951</v>
      </c>
      <c r="D316" s="237">
        <v>560.79999999999995</v>
      </c>
      <c r="E316" s="237">
        <v>516.6</v>
      </c>
      <c r="F316" s="54">
        <f t="shared" si="88"/>
        <v>824085.49</v>
      </c>
      <c r="G316" s="76">
        <v>0</v>
      </c>
      <c r="H316" s="76">
        <v>0</v>
      </c>
      <c r="I316" s="76">
        <v>0</v>
      </c>
      <c r="J316" s="76">
        <f>ROUND(1595.21*E316,2)</f>
        <v>824085.49</v>
      </c>
      <c r="K316" s="53">
        <f t="shared" si="91"/>
        <v>1595.2100077429345</v>
      </c>
      <c r="L316" s="76">
        <v>0</v>
      </c>
      <c r="M316" s="76">
        <v>0</v>
      </c>
      <c r="N316" s="76">
        <v>0</v>
      </c>
      <c r="O316" s="76">
        <v>0</v>
      </c>
      <c r="P316" s="76">
        <v>0</v>
      </c>
      <c r="Q316" s="76">
        <v>0</v>
      </c>
      <c r="R316" s="76">
        <v>0</v>
      </c>
      <c r="S316" s="76">
        <v>0</v>
      </c>
      <c r="T316" s="76">
        <v>0</v>
      </c>
      <c r="U316" s="76">
        <v>0</v>
      </c>
      <c r="V316" s="114">
        <f t="shared" si="89"/>
        <v>824085.49</v>
      </c>
      <c r="W316" s="71">
        <v>2017</v>
      </c>
      <c r="X316" s="71">
        <v>2017</v>
      </c>
      <c r="Y316" s="104" t="s">
        <v>155</v>
      </c>
      <c r="Z316" s="101">
        <v>2</v>
      </c>
    </row>
    <row r="317" spans="1:26" s="24" customFormat="1" ht="17.25" customHeight="1">
      <c r="A317" s="51">
        <f t="shared" si="90"/>
        <v>271</v>
      </c>
      <c r="B317" s="151" t="s">
        <v>310</v>
      </c>
      <c r="C317" s="160">
        <v>1971</v>
      </c>
      <c r="D317" s="237">
        <v>4274</v>
      </c>
      <c r="E317" s="237">
        <v>3283.8</v>
      </c>
      <c r="F317" s="54">
        <f t="shared" si="88"/>
        <v>3003166.45</v>
      </c>
      <c r="G317" s="76">
        <v>0</v>
      </c>
      <c r="H317" s="76">
        <v>0</v>
      </c>
      <c r="I317" s="76">
        <v>0</v>
      </c>
      <c r="J317" s="76">
        <f>ROUND(914.54*E317,2)</f>
        <v>3003166.45</v>
      </c>
      <c r="K317" s="53">
        <f t="shared" si="91"/>
        <v>914.53999939094956</v>
      </c>
      <c r="L317" s="76">
        <v>0</v>
      </c>
      <c r="M317" s="76">
        <v>0</v>
      </c>
      <c r="N317" s="76">
        <v>0</v>
      </c>
      <c r="O317" s="76">
        <v>0</v>
      </c>
      <c r="P317" s="76">
        <v>0</v>
      </c>
      <c r="Q317" s="76">
        <v>0</v>
      </c>
      <c r="R317" s="76">
        <v>0</v>
      </c>
      <c r="S317" s="76">
        <v>0</v>
      </c>
      <c r="T317" s="76">
        <v>0</v>
      </c>
      <c r="U317" s="76">
        <v>0</v>
      </c>
      <c r="V317" s="114">
        <f t="shared" si="89"/>
        <v>3003166.45</v>
      </c>
      <c r="W317" s="71">
        <v>2017</v>
      </c>
      <c r="X317" s="71">
        <v>2017</v>
      </c>
      <c r="Y317" s="104" t="s">
        <v>155</v>
      </c>
      <c r="Z317" s="101">
        <v>5</v>
      </c>
    </row>
    <row r="318" spans="1:26" s="24" customFormat="1" ht="17.25" customHeight="1">
      <c r="A318" s="51">
        <f t="shared" si="90"/>
        <v>272</v>
      </c>
      <c r="B318" s="52" t="s">
        <v>311</v>
      </c>
      <c r="C318" s="51">
        <v>1984</v>
      </c>
      <c r="D318" s="325">
        <v>4009.1</v>
      </c>
      <c r="E318" s="325">
        <v>3512.1</v>
      </c>
      <c r="F318" s="54">
        <f t="shared" si="88"/>
        <v>3261546.79</v>
      </c>
      <c r="G318" s="76">
        <v>0</v>
      </c>
      <c r="H318" s="76">
        <v>0</v>
      </c>
      <c r="I318" s="76">
        <v>0</v>
      </c>
      <c r="J318" s="76">
        <f>ROUND(928.66*E318,2)</f>
        <v>3261546.79</v>
      </c>
      <c r="K318" s="53">
        <f t="shared" si="91"/>
        <v>928.66000113891982</v>
      </c>
      <c r="L318" s="76">
        <v>0</v>
      </c>
      <c r="M318" s="76">
        <v>0</v>
      </c>
      <c r="N318" s="76">
        <v>0</v>
      </c>
      <c r="O318" s="76">
        <v>0</v>
      </c>
      <c r="P318" s="76">
        <v>0</v>
      </c>
      <c r="Q318" s="76">
        <v>0</v>
      </c>
      <c r="R318" s="76">
        <v>0</v>
      </c>
      <c r="S318" s="76">
        <v>0</v>
      </c>
      <c r="T318" s="76">
        <v>0</v>
      </c>
      <c r="U318" s="76">
        <v>0</v>
      </c>
      <c r="V318" s="114">
        <f t="shared" si="89"/>
        <v>3261546.79</v>
      </c>
      <c r="W318" s="71">
        <v>2017</v>
      </c>
      <c r="X318" s="71">
        <v>2017</v>
      </c>
      <c r="Y318" s="276" t="s">
        <v>154</v>
      </c>
      <c r="Z318" s="275">
        <v>5</v>
      </c>
    </row>
    <row r="319" spans="1:26" s="24" customFormat="1" ht="17.25" customHeight="1">
      <c r="A319" s="51">
        <f t="shared" si="90"/>
        <v>273</v>
      </c>
      <c r="B319" s="151" t="s">
        <v>312</v>
      </c>
      <c r="C319" s="165">
        <v>1960</v>
      </c>
      <c r="D319" s="237">
        <v>2536.1999999999998</v>
      </c>
      <c r="E319" s="237">
        <v>2009.4</v>
      </c>
      <c r="F319" s="54">
        <f t="shared" si="88"/>
        <v>3205414.97</v>
      </c>
      <c r="G319" s="76">
        <v>0</v>
      </c>
      <c r="H319" s="76">
        <v>0</v>
      </c>
      <c r="I319" s="76">
        <v>0</v>
      </c>
      <c r="J319" s="76">
        <f>ROUND(1595.21*E319,2)</f>
        <v>3205414.97</v>
      </c>
      <c r="K319" s="53">
        <f t="shared" si="91"/>
        <v>1595.209998009356</v>
      </c>
      <c r="L319" s="76">
        <v>0</v>
      </c>
      <c r="M319" s="76">
        <v>0</v>
      </c>
      <c r="N319" s="76">
        <v>0</v>
      </c>
      <c r="O319" s="76">
        <v>0</v>
      </c>
      <c r="P319" s="76">
        <v>0</v>
      </c>
      <c r="Q319" s="76">
        <v>0</v>
      </c>
      <c r="R319" s="76">
        <v>0</v>
      </c>
      <c r="S319" s="76">
        <v>0</v>
      </c>
      <c r="T319" s="76">
        <v>0</v>
      </c>
      <c r="U319" s="76">
        <v>0</v>
      </c>
      <c r="V319" s="114">
        <f t="shared" si="89"/>
        <v>3205414.97</v>
      </c>
      <c r="W319" s="71">
        <v>2017</v>
      </c>
      <c r="X319" s="71">
        <v>2017</v>
      </c>
      <c r="Y319" s="104" t="s">
        <v>155</v>
      </c>
      <c r="Z319" s="101">
        <v>3</v>
      </c>
    </row>
    <row r="320" spans="1:26" s="24" customFormat="1" ht="17.25" customHeight="1">
      <c r="A320" s="51">
        <f t="shared" si="90"/>
        <v>274</v>
      </c>
      <c r="B320" s="151" t="s">
        <v>313</v>
      </c>
      <c r="C320" s="166">
        <v>1954</v>
      </c>
      <c r="D320" s="222">
        <v>2497.5</v>
      </c>
      <c r="E320" s="222">
        <v>2023.9</v>
      </c>
      <c r="F320" s="54">
        <f t="shared" si="88"/>
        <v>5013827.71</v>
      </c>
      <c r="G320" s="76">
        <v>0</v>
      </c>
      <c r="H320" s="76">
        <v>0</v>
      </c>
      <c r="I320" s="76">
        <v>0</v>
      </c>
      <c r="J320" s="76">
        <f>ROUND(1595.21*E320,2)</f>
        <v>3228545.52</v>
      </c>
      <c r="K320" s="53">
        <f t="shared" si="91"/>
        <v>1595.2100004940955</v>
      </c>
      <c r="L320" s="76">
        <v>0</v>
      </c>
      <c r="M320" s="76">
        <v>0</v>
      </c>
      <c r="N320" s="76">
        <f>ROUND(882.1*E320,2)</f>
        <v>1785282.19</v>
      </c>
      <c r="O320" s="76">
        <f>N320/E320</f>
        <v>882.09999999999991</v>
      </c>
      <c r="P320" s="76">
        <v>0</v>
      </c>
      <c r="Q320" s="76">
        <v>0</v>
      </c>
      <c r="R320" s="76">
        <v>0</v>
      </c>
      <c r="S320" s="76">
        <v>0</v>
      </c>
      <c r="T320" s="76">
        <v>0</v>
      </c>
      <c r="U320" s="76">
        <v>0</v>
      </c>
      <c r="V320" s="114">
        <f t="shared" si="89"/>
        <v>5013827.71</v>
      </c>
      <c r="W320" s="71">
        <v>2017</v>
      </c>
      <c r="X320" s="71">
        <v>2017</v>
      </c>
      <c r="Y320" s="104" t="s">
        <v>155</v>
      </c>
      <c r="Z320" s="101">
        <v>3</v>
      </c>
    </row>
    <row r="321" spans="1:26" s="24" customFormat="1" ht="17.25" customHeight="1">
      <c r="A321" s="51">
        <f t="shared" si="90"/>
        <v>275</v>
      </c>
      <c r="B321" s="253" t="s">
        <v>112</v>
      </c>
      <c r="C321" s="254" t="s">
        <v>59</v>
      </c>
      <c r="D321" s="255">
        <v>699.3</v>
      </c>
      <c r="E321" s="255">
        <v>635.1</v>
      </c>
      <c r="F321" s="54">
        <f>G321+I321+J321+L321+N321+P321+R321</f>
        <v>2262397.6800000002</v>
      </c>
      <c r="G321" s="76">
        <v>0</v>
      </c>
      <c r="H321" s="76">
        <v>0</v>
      </c>
      <c r="I321" s="76">
        <v>0</v>
      </c>
      <c r="J321" s="76">
        <f>ROUND(3562.27*E321,2)</f>
        <v>2262397.6800000002</v>
      </c>
      <c r="K321" s="53">
        <f>J321/E321</f>
        <v>3562.2700047236658</v>
      </c>
      <c r="L321" s="76">
        <v>0</v>
      </c>
      <c r="M321" s="76">
        <v>0</v>
      </c>
      <c r="N321" s="76">
        <v>0</v>
      </c>
      <c r="O321" s="76"/>
      <c r="P321" s="76">
        <v>0</v>
      </c>
      <c r="Q321" s="76">
        <v>0</v>
      </c>
      <c r="R321" s="76">
        <v>0</v>
      </c>
      <c r="S321" s="76">
        <v>0</v>
      </c>
      <c r="T321" s="76">
        <v>0</v>
      </c>
      <c r="U321" s="76">
        <v>0</v>
      </c>
      <c r="V321" s="114">
        <f>F321</f>
        <v>2262397.6800000002</v>
      </c>
      <c r="W321" s="71">
        <v>2017</v>
      </c>
      <c r="X321" s="71">
        <v>2017</v>
      </c>
      <c r="Y321" s="253" t="s">
        <v>167</v>
      </c>
      <c r="Z321" s="253" t="s">
        <v>16</v>
      </c>
    </row>
    <row r="322" spans="1:26" ht="17.25" customHeight="1">
      <c r="A322" s="352" t="s">
        <v>280</v>
      </c>
      <c r="B322" s="353"/>
      <c r="C322" s="164"/>
      <c r="D322" s="70">
        <f>SUM(D314:D321)</f>
        <v>21019.3</v>
      </c>
      <c r="E322" s="70">
        <f>SUM(E314:E321)</f>
        <v>17665.7</v>
      </c>
      <c r="F322" s="56">
        <f>SUM(F314:F321)</f>
        <v>29063403.25</v>
      </c>
      <c r="G322" s="56">
        <f t="shared" ref="G322:U322" si="92">SUM(G314:G321)</f>
        <v>6341398.0099999998</v>
      </c>
      <c r="H322" s="56"/>
      <c r="I322" s="56">
        <f t="shared" si="92"/>
        <v>0</v>
      </c>
      <c r="J322" s="56">
        <f t="shared" si="92"/>
        <v>19102396.100000001</v>
      </c>
      <c r="K322" s="56"/>
      <c r="L322" s="56">
        <f t="shared" si="92"/>
        <v>0</v>
      </c>
      <c r="M322" s="56">
        <f t="shared" si="92"/>
        <v>0</v>
      </c>
      <c r="N322" s="56">
        <f t="shared" si="92"/>
        <v>3619609.1399999997</v>
      </c>
      <c r="O322" s="56"/>
      <c r="P322" s="56">
        <f t="shared" si="92"/>
        <v>0</v>
      </c>
      <c r="Q322" s="56">
        <f t="shared" si="92"/>
        <v>0</v>
      </c>
      <c r="R322" s="56">
        <f t="shared" si="92"/>
        <v>0</v>
      </c>
      <c r="S322" s="56">
        <f t="shared" si="92"/>
        <v>0</v>
      </c>
      <c r="T322" s="56">
        <f t="shared" si="92"/>
        <v>0</v>
      </c>
      <c r="U322" s="56">
        <f t="shared" si="92"/>
        <v>0</v>
      </c>
      <c r="V322" s="113">
        <f>SUM(V314:V321)</f>
        <v>29063403.25</v>
      </c>
      <c r="W322" s="22" t="s">
        <v>117</v>
      </c>
      <c r="X322" s="22" t="s">
        <v>117</v>
      </c>
    </row>
    <row r="323" spans="1:26" ht="17.25" customHeight="1">
      <c r="A323" s="352" t="s">
        <v>284</v>
      </c>
      <c r="B323" s="358"/>
      <c r="C323" s="163"/>
      <c r="D323" s="70">
        <f t="shared" ref="D323:V323" si="93">D322+D312+D304</f>
        <v>34320.300000000003</v>
      </c>
      <c r="E323" s="70">
        <f t="shared" si="93"/>
        <v>29036.730000000003</v>
      </c>
      <c r="F323" s="56">
        <f t="shared" si="93"/>
        <v>40899027.089999996</v>
      </c>
      <c r="G323" s="56">
        <f t="shared" si="93"/>
        <v>6406191.5299999993</v>
      </c>
      <c r="H323" s="56">
        <f t="shared" si="93"/>
        <v>0</v>
      </c>
      <c r="I323" s="56">
        <f t="shared" si="93"/>
        <v>0</v>
      </c>
      <c r="J323" s="56">
        <f t="shared" si="93"/>
        <v>30055958.980000004</v>
      </c>
      <c r="K323" s="56">
        <f t="shared" si="93"/>
        <v>0</v>
      </c>
      <c r="L323" s="56">
        <f t="shared" si="93"/>
        <v>0</v>
      </c>
      <c r="M323" s="56">
        <f t="shared" si="93"/>
        <v>0</v>
      </c>
      <c r="N323" s="56">
        <f t="shared" si="93"/>
        <v>4436876.58</v>
      </c>
      <c r="O323" s="56">
        <f t="shared" si="93"/>
        <v>0</v>
      </c>
      <c r="P323" s="56">
        <f t="shared" si="93"/>
        <v>0</v>
      </c>
      <c r="Q323" s="56">
        <f t="shared" si="93"/>
        <v>0</v>
      </c>
      <c r="R323" s="56">
        <f t="shared" si="93"/>
        <v>0</v>
      </c>
      <c r="S323" s="56">
        <f t="shared" si="93"/>
        <v>0</v>
      </c>
      <c r="T323" s="56">
        <f t="shared" si="93"/>
        <v>0</v>
      </c>
      <c r="U323" s="56">
        <f t="shared" si="93"/>
        <v>0</v>
      </c>
      <c r="V323" s="113">
        <f t="shared" si="93"/>
        <v>40899027.089999996</v>
      </c>
      <c r="W323" s="22" t="s">
        <v>117</v>
      </c>
      <c r="X323" s="22" t="s">
        <v>117</v>
      </c>
    </row>
    <row r="324" spans="1:26" ht="17.25" customHeight="1">
      <c r="A324" s="354" t="s">
        <v>79</v>
      </c>
      <c r="B324" s="355"/>
      <c r="C324" s="355"/>
      <c r="D324" s="355"/>
      <c r="E324" s="355"/>
      <c r="F324" s="355"/>
      <c r="G324" s="355"/>
      <c r="H324" s="355"/>
      <c r="I324" s="355"/>
      <c r="J324" s="355"/>
      <c r="K324" s="355"/>
      <c r="L324" s="355"/>
      <c r="M324" s="355"/>
      <c r="N324" s="355"/>
      <c r="O324" s="355"/>
      <c r="P324" s="355"/>
      <c r="Q324" s="355"/>
      <c r="R324" s="355"/>
      <c r="S324" s="355"/>
      <c r="T324" s="355"/>
      <c r="U324" s="355"/>
      <c r="V324" s="360"/>
      <c r="W324" s="23"/>
      <c r="X324" s="23"/>
    </row>
    <row r="325" spans="1:26" ht="17.25" customHeight="1">
      <c r="A325" s="354" t="s">
        <v>113</v>
      </c>
      <c r="B325" s="355"/>
      <c r="C325" s="355"/>
      <c r="D325" s="355"/>
      <c r="E325" s="355"/>
      <c r="F325" s="355"/>
      <c r="G325" s="355"/>
      <c r="H325" s="355"/>
      <c r="I325" s="355"/>
      <c r="J325" s="355"/>
      <c r="K325" s="355"/>
      <c r="L325" s="355"/>
      <c r="M325" s="355"/>
      <c r="N325" s="355"/>
      <c r="O325" s="355"/>
      <c r="P325" s="355"/>
      <c r="Q325" s="355"/>
      <c r="R325" s="355"/>
      <c r="S325" s="355"/>
      <c r="T325" s="355"/>
      <c r="U325" s="355"/>
      <c r="V325" s="360"/>
      <c r="W325" s="23"/>
      <c r="X325" s="23"/>
    </row>
    <row r="326" spans="1:26" ht="17.25" customHeight="1">
      <c r="A326" s="59">
        <f>A321+1</f>
        <v>276</v>
      </c>
      <c r="B326" s="168" t="s">
        <v>314</v>
      </c>
      <c r="C326" s="169">
        <v>1972</v>
      </c>
      <c r="D326" s="238">
        <v>4990.3999999999996</v>
      </c>
      <c r="E326" s="238">
        <v>4554.3999999999996</v>
      </c>
      <c r="F326" s="54">
        <f>G326+I326+J326+L326+N326+P326+R326</f>
        <v>4165180.98</v>
      </c>
      <c r="G326" s="76">
        <v>0</v>
      </c>
      <c r="H326" s="76"/>
      <c r="I326" s="76">
        <v>0</v>
      </c>
      <c r="J326" s="170">
        <f>ROUND(914.54*E326,2)</f>
        <v>4165180.98</v>
      </c>
      <c r="K326" s="53">
        <f>J326/E326</f>
        <v>914.5400008782716</v>
      </c>
      <c r="L326" s="76">
        <v>0</v>
      </c>
      <c r="M326" s="76"/>
      <c r="N326" s="76">
        <v>0</v>
      </c>
      <c r="O326" s="76"/>
      <c r="P326" s="76">
        <v>0</v>
      </c>
      <c r="Q326" s="76"/>
      <c r="R326" s="76">
        <v>0</v>
      </c>
      <c r="S326" s="76">
        <v>0</v>
      </c>
      <c r="T326" s="76">
        <v>0</v>
      </c>
      <c r="U326" s="76">
        <v>0</v>
      </c>
      <c r="V326" s="114">
        <f>F326</f>
        <v>4165180.98</v>
      </c>
      <c r="W326" s="71">
        <v>2017</v>
      </c>
      <c r="X326" s="71">
        <v>2017</v>
      </c>
      <c r="Y326" s="168" t="s">
        <v>315</v>
      </c>
      <c r="Z326" s="169">
        <v>5</v>
      </c>
    </row>
    <row r="327" spans="1:26" ht="17.25" customHeight="1">
      <c r="A327" s="352" t="s">
        <v>280</v>
      </c>
      <c r="B327" s="353"/>
      <c r="C327" s="57"/>
      <c r="D327" s="58">
        <f>D326</f>
        <v>4990.3999999999996</v>
      </c>
      <c r="E327" s="58">
        <f>E326</f>
        <v>4554.3999999999996</v>
      </c>
      <c r="F327" s="56">
        <f t="shared" ref="F327:V327" si="94">F326</f>
        <v>4165180.98</v>
      </c>
      <c r="G327" s="50">
        <f t="shared" si="94"/>
        <v>0</v>
      </c>
      <c r="H327" s="50"/>
      <c r="I327" s="50">
        <f t="shared" si="94"/>
        <v>0</v>
      </c>
      <c r="J327" s="50">
        <f t="shared" si="94"/>
        <v>4165180.98</v>
      </c>
      <c r="K327" s="50"/>
      <c r="L327" s="50">
        <f t="shared" si="94"/>
        <v>0</v>
      </c>
      <c r="M327" s="50"/>
      <c r="N327" s="50">
        <f t="shared" si="94"/>
        <v>0</v>
      </c>
      <c r="O327" s="50"/>
      <c r="P327" s="50">
        <f t="shared" si="94"/>
        <v>0</v>
      </c>
      <c r="Q327" s="50"/>
      <c r="R327" s="50">
        <f t="shared" si="94"/>
        <v>0</v>
      </c>
      <c r="S327" s="50">
        <f t="shared" si="94"/>
        <v>0</v>
      </c>
      <c r="T327" s="50">
        <f t="shared" si="94"/>
        <v>0</v>
      </c>
      <c r="U327" s="50">
        <f t="shared" si="94"/>
        <v>0</v>
      </c>
      <c r="V327" s="113">
        <f t="shared" si="94"/>
        <v>4165180.98</v>
      </c>
      <c r="W327" s="22" t="s">
        <v>117</v>
      </c>
      <c r="X327" s="22" t="s">
        <v>117</v>
      </c>
    </row>
    <row r="328" spans="1:26" ht="17.25" customHeight="1">
      <c r="A328" s="354" t="s">
        <v>80</v>
      </c>
      <c r="B328" s="355"/>
      <c r="C328" s="355"/>
      <c r="D328" s="355"/>
      <c r="E328" s="355"/>
      <c r="F328" s="355"/>
      <c r="G328" s="355"/>
      <c r="H328" s="355"/>
      <c r="I328" s="355"/>
      <c r="J328" s="355"/>
      <c r="K328" s="355"/>
      <c r="L328" s="355"/>
      <c r="M328" s="355"/>
      <c r="N328" s="355"/>
      <c r="O328" s="355"/>
      <c r="P328" s="355"/>
      <c r="Q328" s="355"/>
      <c r="R328" s="355"/>
      <c r="S328" s="355"/>
      <c r="T328" s="355"/>
      <c r="U328" s="355"/>
      <c r="V328" s="360"/>
      <c r="W328" s="23"/>
      <c r="X328" s="23"/>
    </row>
    <row r="329" spans="1:26" s="24" customFormat="1" ht="17.25" customHeight="1">
      <c r="A329" s="51">
        <f>A326+1</f>
        <v>277</v>
      </c>
      <c r="B329" s="52" t="s">
        <v>408</v>
      </c>
      <c r="C329" s="51">
        <v>1962</v>
      </c>
      <c r="D329" s="67">
        <v>3803</v>
      </c>
      <c r="E329" s="34">
        <v>3734.4</v>
      </c>
      <c r="F329" s="54">
        <f>G329+I329+J329+L329+N329+P329+R329</f>
        <v>5957152.2199999997</v>
      </c>
      <c r="G329" s="53">
        <v>0</v>
      </c>
      <c r="H329" s="53"/>
      <c r="I329" s="53">
        <v>0</v>
      </c>
      <c r="J329" s="76">
        <f>ROUND(1595.21*E329,2)</f>
        <v>5957152.2199999997</v>
      </c>
      <c r="K329" s="53">
        <f>J329/E329</f>
        <v>1595.2099989288774</v>
      </c>
      <c r="L329" s="53">
        <v>0</v>
      </c>
      <c r="M329" s="53">
        <v>0</v>
      </c>
      <c r="N329" s="53">
        <v>0</v>
      </c>
      <c r="O329" s="53">
        <v>0</v>
      </c>
      <c r="P329" s="53">
        <v>0</v>
      </c>
      <c r="Q329" s="53">
        <v>0</v>
      </c>
      <c r="R329" s="53">
        <v>0</v>
      </c>
      <c r="S329" s="53">
        <v>0</v>
      </c>
      <c r="T329" s="53">
        <v>0</v>
      </c>
      <c r="U329" s="53">
        <v>0</v>
      </c>
      <c r="V329" s="114">
        <f>F329</f>
        <v>5957152.2199999997</v>
      </c>
      <c r="W329" s="71">
        <v>2017</v>
      </c>
      <c r="X329" s="71">
        <v>2017</v>
      </c>
      <c r="Y329" s="168" t="s">
        <v>315</v>
      </c>
      <c r="Z329" s="169">
        <v>4</v>
      </c>
    </row>
    <row r="330" spans="1:26" s="24" customFormat="1" ht="17.25" customHeight="1">
      <c r="A330" s="51">
        <f>A329+1</f>
        <v>278</v>
      </c>
      <c r="B330" s="52" t="s">
        <v>409</v>
      </c>
      <c r="C330" s="51">
        <v>1967</v>
      </c>
      <c r="D330" s="67">
        <v>369</v>
      </c>
      <c r="E330" s="34">
        <v>321</v>
      </c>
      <c r="F330" s="54">
        <f>G330+I330+J330+L330+N330+P330+R330</f>
        <v>512062.41</v>
      </c>
      <c r="G330" s="53">
        <v>0</v>
      </c>
      <c r="H330" s="53"/>
      <c r="I330" s="53">
        <v>0</v>
      </c>
      <c r="J330" s="76">
        <f>ROUND(1595.21*E330,2)</f>
        <v>512062.41</v>
      </c>
      <c r="K330" s="53">
        <f>J330/E330</f>
        <v>1595.2099999999998</v>
      </c>
      <c r="L330" s="53">
        <v>0</v>
      </c>
      <c r="M330" s="53">
        <v>0</v>
      </c>
      <c r="N330" s="53">
        <v>0</v>
      </c>
      <c r="O330" s="53">
        <v>0</v>
      </c>
      <c r="P330" s="53">
        <v>0</v>
      </c>
      <c r="Q330" s="53">
        <v>0</v>
      </c>
      <c r="R330" s="53">
        <v>0</v>
      </c>
      <c r="S330" s="53">
        <v>0</v>
      </c>
      <c r="T330" s="53">
        <v>0</v>
      </c>
      <c r="U330" s="53">
        <v>0</v>
      </c>
      <c r="V330" s="114">
        <f>F330</f>
        <v>512062.41</v>
      </c>
      <c r="W330" s="71">
        <v>2017</v>
      </c>
      <c r="X330" s="71">
        <v>2017</v>
      </c>
      <c r="Y330" s="168" t="s">
        <v>315</v>
      </c>
      <c r="Z330" s="169">
        <v>2</v>
      </c>
    </row>
    <row r="331" spans="1:26" ht="17.25" customHeight="1">
      <c r="A331" s="352" t="s">
        <v>280</v>
      </c>
      <c r="B331" s="353"/>
      <c r="C331" s="97"/>
      <c r="D331" s="70">
        <f>SUM(D329:D330)</f>
        <v>4172</v>
      </c>
      <c r="E331" s="70">
        <f>SUM(E329:E330)</f>
        <v>4055.4</v>
      </c>
      <c r="F331" s="56">
        <f>SUM(F329:F330)</f>
        <v>6469214.6299999999</v>
      </c>
      <c r="G331" s="56">
        <f t="shared" ref="G331:U331" si="95">SUM(G329:G330)</f>
        <v>0</v>
      </c>
      <c r="H331" s="56">
        <f t="shared" si="95"/>
        <v>0</v>
      </c>
      <c r="I331" s="56">
        <f t="shared" si="95"/>
        <v>0</v>
      </c>
      <c r="J331" s="56">
        <f t="shared" si="95"/>
        <v>6469214.6299999999</v>
      </c>
      <c r="K331" s="56"/>
      <c r="L331" s="56">
        <f t="shared" si="95"/>
        <v>0</v>
      </c>
      <c r="M331" s="56">
        <f t="shared" si="95"/>
        <v>0</v>
      </c>
      <c r="N331" s="56">
        <f t="shared" si="95"/>
        <v>0</v>
      </c>
      <c r="O331" s="56">
        <f t="shared" si="95"/>
        <v>0</v>
      </c>
      <c r="P331" s="56">
        <f t="shared" si="95"/>
        <v>0</v>
      </c>
      <c r="Q331" s="56">
        <f t="shared" si="95"/>
        <v>0</v>
      </c>
      <c r="R331" s="56">
        <f t="shared" si="95"/>
        <v>0</v>
      </c>
      <c r="S331" s="56">
        <f t="shared" si="95"/>
        <v>0</v>
      </c>
      <c r="T331" s="56">
        <f t="shared" si="95"/>
        <v>0</v>
      </c>
      <c r="U331" s="56">
        <f t="shared" si="95"/>
        <v>0</v>
      </c>
      <c r="V331" s="113">
        <f>SUM(V329:V330)</f>
        <v>6469214.6299999999</v>
      </c>
      <c r="W331" s="22" t="s">
        <v>117</v>
      </c>
      <c r="X331" s="22" t="s">
        <v>117</v>
      </c>
    </row>
    <row r="332" spans="1:26" ht="17.25" customHeight="1">
      <c r="A332" s="354" t="s">
        <v>81</v>
      </c>
      <c r="B332" s="355"/>
      <c r="C332" s="355"/>
      <c r="D332" s="355"/>
      <c r="E332" s="355"/>
      <c r="F332" s="355"/>
      <c r="G332" s="355"/>
      <c r="H332" s="355"/>
      <c r="I332" s="355"/>
      <c r="J332" s="355"/>
      <c r="K332" s="355"/>
      <c r="L332" s="355"/>
      <c r="M332" s="355"/>
      <c r="N332" s="355"/>
      <c r="O332" s="355"/>
      <c r="P332" s="355"/>
      <c r="Q332" s="355"/>
      <c r="R332" s="355"/>
      <c r="S332" s="355"/>
      <c r="T332" s="355"/>
      <c r="U332" s="355"/>
      <c r="V332" s="360"/>
      <c r="W332" s="23"/>
      <c r="X332" s="23"/>
    </row>
    <row r="333" spans="1:26" s="24" customFormat="1" ht="17.25" customHeight="1">
      <c r="A333" s="51">
        <f>A330+1</f>
        <v>279</v>
      </c>
      <c r="B333" s="52" t="s">
        <v>322</v>
      </c>
      <c r="C333" s="51">
        <v>1956</v>
      </c>
      <c r="D333" s="173">
        <v>489.9</v>
      </c>
      <c r="E333" s="174">
        <v>448.5</v>
      </c>
      <c r="F333" s="54">
        <f>G333+I333+J333+L333+N333+P333+R333</f>
        <v>1332614.6000000001</v>
      </c>
      <c r="G333" s="176">
        <f>ROUND(493.96*E333,2)</f>
        <v>221541.06</v>
      </c>
      <c r="H333" s="53">
        <f>G333/E333</f>
        <v>493.96</v>
      </c>
      <c r="I333" s="53">
        <v>0</v>
      </c>
      <c r="J333" s="76">
        <f>ROUND(1595.21*E333,2)</f>
        <v>715451.69</v>
      </c>
      <c r="K333" s="53">
        <f>J333/E333</f>
        <v>1595.2100111482719</v>
      </c>
      <c r="L333" s="53">
        <v>0</v>
      </c>
      <c r="M333" s="53">
        <v>0</v>
      </c>
      <c r="N333" s="76">
        <f>ROUND(882.1*E333,2)</f>
        <v>395621.85</v>
      </c>
      <c r="O333" s="76">
        <f>N333/E333</f>
        <v>882.09999999999991</v>
      </c>
      <c r="P333" s="53">
        <v>0</v>
      </c>
      <c r="Q333" s="53">
        <v>0</v>
      </c>
      <c r="R333" s="53">
        <v>0</v>
      </c>
      <c r="S333" s="53">
        <v>0</v>
      </c>
      <c r="T333" s="53">
        <v>0</v>
      </c>
      <c r="U333" s="53">
        <v>0</v>
      </c>
      <c r="V333" s="114">
        <f t="shared" ref="V333:V340" si="96">F333</f>
        <v>1332614.6000000001</v>
      </c>
      <c r="W333" s="71">
        <v>2017</v>
      </c>
      <c r="X333" s="71">
        <v>2017</v>
      </c>
      <c r="Y333" s="171" t="s">
        <v>155</v>
      </c>
      <c r="Z333" s="171">
        <v>2</v>
      </c>
    </row>
    <row r="334" spans="1:26" s="24" customFormat="1" ht="17.25" customHeight="1">
      <c r="A334" s="51">
        <f>A333+1</f>
        <v>280</v>
      </c>
      <c r="B334" s="52" t="s">
        <v>323</v>
      </c>
      <c r="C334" s="51">
        <v>1969</v>
      </c>
      <c r="D334" s="174">
        <v>4364.8</v>
      </c>
      <c r="E334" s="174">
        <v>4030.2</v>
      </c>
      <c r="F334" s="54">
        <f t="shared" ref="F334:F340" si="97">G334+I334+J334+L334+N334+P334+R334</f>
        <v>3555039.42</v>
      </c>
      <c r="G334" s="53">
        <v>0</v>
      </c>
      <c r="H334" s="53">
        <v>0</v>
      </c>
      <c r="I334" s="53">
        <v>0</v>
      </c>
      <c r="J334" s="53">
        <v>0</v>
      </c>
      <c r="K334" s="53">
        <v>0</v>
      </c>
      <c r="L334" s="53">
        <v>0</v>
      </c>
      <c r="M334" s="53">
        <v>0</v>
      </c>
      <c r="N334" s="76">
        <f>ROUND(882.1*E334,2)</f>
        <v>3555039.42</v>
      </c>
      <c r="O334" s="76">
        <f>N334/E334</f>
        <v>882.1</v>
      </c>
      <c r="P334" s="53">
        <v>0</v>
      </c>
      <c r="Q334" s="53">
        <v>0</v>
      </c>
      <c r="R334" s="53">
        <v>0</v>
      </c>
      <c r="S334" s="53">
        <v>0</v>
      </c>
      <c r="T334" s="53">
        <v>0</v>
      </c>
      <c r="U334" s="53">
        <v>0</v>
      </c>
      <c r="V334" s="114">
        <f t="shared" si="96"/>
        <v>3555039.42</v>
      </c>
      <c r="W334" s="71">
        <v>2017</v>
      </c>
      <c r="X334" s="71">
        <v>2017</v>
      </c>
      <c r="Y334" s="171" t="s">
        <v>155</v>
      </c>
      <c r="Z334" s="171">
        <v>5</v>
      </c>
    </row>
    <row r="335" spans="1:26" s="24" customFormat="1" ht="17.25" customHeight="1">
      <c r="A335" s="51">
        <f t="shared" ref="A335:A340" si="98">A334+1</f>
        <v>281</v>
      </c>
      <c r="B335" s="52" t="s">
        <v>324</v>
      </c>
      <c r="C335" s="51">
        <v>1962</v>
      </c>
      <c r="D335" s="174">
        <v>1436.5</v>
      </c>
      <c r="E335" s="174">
        <v>1326</v>
      </c>
      <c r="F335" s="54">
        <f t="shared" si="97"/>
        <v>1169664.6000000001</v>
      </c>
      <c r="G335" s="53">
        <v>0</v>
      </c>
      <c r="H335" s="53">
        <v>0</v>
      </c>
      <c r="I335" s="53">
        <v>0</v>
      </c>
      <c r="J335" s="53">
        <v>0</v>
      </c>
      <c r="K335" s="53">
        <v>0</v>
      </c>
      <c r="L335" s="53">
        <v>0</v>
      </c>
      <c r="M335" s="53">
        <v>0</v>
      </c>
      <c r="N335" s="76">
        <f>ROUND(882.1*E335,2)</f>
        <v>1169664.6000000001</v>
      </c>
      <c r="O335" s="76">
        <f>N335/E335</f>
        <v>882.1</v>
      </c>
      <c r="P335" s="53">
        <v>0</v>
      </c>
      <c r="Q335" s="53">
        <v>0</v>
      </c>
      <c r="R335" s="53">
        <v>0</v>
      </c>
      <c r="S335" s="53">
        <v>0</v>
      </c>
      <c r="T335" s="53">
        <v>0</v>
      </c>
      <c r="U335" s="53">
        <v>0</v>
      </c>
      <c r="V335" s="114">
        <f t="shared" si="96"/>
        <v>1169664.6000000001</v>
      </c>
      <c r="W335" s="71">
        <v>2017</v>
      </c>
      <c r="X335" s="71">
        <v>2017</v>
      </c>
      <c r="Y335" s="171" t="s">
        <v>155</v>
      </c>
      <c r="Z335" s="171">
        <v>4</v>
      </c>
    </row>
    <row r="336" spans="1:26" s="24" customFormat="1" ht="17.25" customHeight="1">
      <c r="A336" s="51">
        <f t="shared" si="98"/>
        <v>282</v>
      </c>
      <c r="B336" s="52" t="s">
        <v>325</v>
      </c>
      <c r="C336" s="51">
        <v>1963</v>
      </c>
      <c r="D336" s="174">
        <v>2192.1</v>
      </c>
      <c r="E336" s="174">
        <v>2025.7</v>
      </c>
      <c r="F336" s="54">
        <f t="shared" si="97"/>
        <v>1786869.97</v>
      </c>
      <c r="G336" s="53">
        <v>0</v>
      </c>
      <c r="H336" s="53">
        <v>0</v>
      </c>
      <c r="I336" s="53">
        <v>0</v>
      </c>
      <c r="J336" s="53">
        <v>0</v>
      </c>
      <c r="K336" s="53">
        <v>0</v>
      </c>
      <c r="L336" s="53">
        <v>0</v>
      </c>
      <c r="M336" s="53">
        <v>0</v>
      </c>
      <c r="N336" s="76">
        <f>ROUND(882.1*E336,2)</f>
        <v>1786869.97</v>
      </c>
      <c r="O336" s="76">
        <f>N336/E336</f>
        <v>882.1</v>
      </c>
      <c r="P336" s="53">
        <v>0</v>
      </c>
      <c r="Q336" s="53">
        <v>0</v>
      </c>
      <c r="R336" s="53">
        <v>0</v>
      </c>
      <c r="S336" s="53">
        <v>0</v>
      </c>
      <c r="T336" s="53">
        <v>0</v>
      </c>
      <c r="U336" s="53">
        <v>0</v>
      </c>
      <c r="V336" s="114">
        <f t="shared" si="96"/>
        <v>1786869.97</v>
      </c>
      <c r="W336" s="71">
        <v>2017</v>
      </c>
      <c r="X336" s="71">
        <v>2017</v>
      </c>
      <c r="Y336" s="171" t="s">
        <v>155</v>
      </c>
      <c r="Z336" s="171">
        <v>4</v>
      </c>
    </row>
    <row r="337" spans="1:26" s="24" customFormat="1" ht="17.25" customHeight="1">
      <c r="A337" s="51">
        <f t="shared" si="98"/>
        <v>283</v>
      </c>
      <c r="B337" s="52" t="s">
        <v>316</v>
      </c>
      <c r="C337" s="51">
        <v>1956</v>
      </c>
      <c r="D337" s="174">
        <v>498.5</v>
      </c>
      <c r="E337" s="174">
        <v>461.8</v>
      </c>
      <c r="F337" s="54">
        <f t="shared" si="97"/>
        <v>736667.98</v>
      </c>
      <c r="G337" s="53">
        <v>0</v>
      </c>
      <c r="H337" s="53">
        <v>0</v>
      </c>
      <c r="I337" s="53">
        <v>0</v>
      </c>
      <c r="J337" s="76">
        <f>ROUND(1595.21*E337,2)</f>
        <v>736667.98</v>
      </c>
      <c r="K337" s="53">
        <f>J337/E337</f>
        <v>1595.2100043308792</v>
      </c>
      <c r="L337" s="53">
        <v>0</v>
      </c>
      <c r="M337" s="53">
        <v>0</v>
      </c>
      <c r="N337" s="53">
        <v>0</v>
      </c>
      <c r="O337" s="53">
        <v>0</v>
      </c>
      <c r="P337" s="53">
        <v>0</v>
      </c>
      <c r="Q337" s="53">
        <v>0</v>
      </c>
      <c r="R337" s="53">
        <v>0</v>
      </c>
      <c r="S337" s="53">
        <v>0</v>
      </c>
      <c r="T337" s="53">
        <v>0</v>
      </c>
      <c r="U337" s="53">
        <v>0</v>
      </c>
      <c r="V337" s="114">
        <f t="shared" si="96"/>
        <v>736667.98</v>
      </c>
      <c r="W337" s="71">
        <v>2017</v>
      </c>
      <c r="X337" s="71">
        <v>2017</v>
      </c>
      <c r="Y337" s="171" t="s">
        <v>155</v>
      </c>
      <c r="Z337" s="171">
        <v>2</v>
      </c>
    </row>
    <row r="338" spans="1:26" s="24" customFormat="1" ht="17.25" customHeight="1">
      <c r="A338" s="51">
        <f t="shared" si="98"/>
        <v>284</v>
      </c>
      <c r="B338" s="52" t="s">
        <v>317</v>
      </c>
      <c r="C338" s="51">
        <v>1956</v>
      </c>
      <c r="D338" s="174">
        <v>498.8</v>
      </c>
      <c r="E338" s="174">
        <v>463.4</v>
      </c>
      <c r="F338" s="54">
        <f t="shared" si="97"/>
        <v>739220.31</v>
      </c>
      <c r="G338" s="53">
        <v>0</v>
      </c>
      <c r="H338" s="53">
        <v>0</v>
      </c>
      <c r="I338" s="53">
        <v>0</v>
      </c>
      <c r="J338" s="76">
        <f>ROUND(1595.21*E338,2)</f>
        <v>739220.31</v>
      </c>
      <c r="K338" s="53">
        <f>J338/E338</f>
        <v>1595.2099913681486</v>
      </c>
      <c r="L338" s="53">
        <v>0</v>
      </c>
      <c r="M338" s="53">
        <v>0</v>
      </c>
      <c r="N338" s="53">
        <v>0</v>
      </c>
      <c r="O338" s="53">
        <v>0</v>
      </c>
      <c r="P338" s="53">
        <v>0</v>
      </c>
      <c r="Q338" s="53">
        <v>0</v>
      </c>
      <c r="R338" s="53">
        <v>0</v>
      </c>
      <c r="S338" s="53">
        <v>0</v>
      </c>
      <c r="T338" s="53">
        <v>0</v>
      </c>
      <c r="U338" s="53">
        <v>0</v>
      </c>
      <c r="V338" s="114">
        <f t="shared" si="96"/>
        <v>739220.31</v>
      </c>
      <c r="W338" s="71">
        <v>2017</v>
      </c>
      <c r="X338" s="71">
        <v>2017</v>
      </c>
      <c r="Y338" s="171" t="s">
        <v>155</v>
      </c>
      <c r="Z338" s="171">
        <v>2</v>
      </c>
    </row>
    <row r="339" spans="1:26" s="24" customFormat="1" ht="17.25" customHeight="1">
      <c r="A339" s="51">
        <f t="shared" si="98"/>
        <v>285</v>
      </c>
      <c r="B339" s="52" t="s">
        <v>318</v>
      </c>
      <c r="C339" s="51">
        <v>1960</v>
      </c>
      <c r="D339" s="175">
        <v>1437.1</v>
      </c>
      <c r="E339" s="175">
        <v>1267.3</v>
      </c>
      <c r="F339" s="54">
        <f t="shared" si="97"/>
        <v>2021609.63</v>
      </c>
      <c r="G339" s="53">
        <v>0</v>
      </c>
      <c r="H339" s="53">
        <v>0</v>
      </c>
      <c r="I339" s="53">
        <v>0</v>
      </c>
      <c r="J339" s="76">
        <f>ROUND(1595.21*E339,2)</f>
        <v>2021609.63</v>
      </c>
      <c r="K339" s="53">
        <f>J339/E339</f>
        <v>1595.2099976327625</v>
      </c>
      <c r="L339" s="53">
        <v>0</v>
      </c>
      <c r="M339" s="53">
        <v>0</v>
      </c>
      <c r="N339" s="53">
        <v>0</v>
      </c>
      <c r="O339" s="53">
        <v>0</v>
      </c>
      <c r="P339" s="53">
        <v>0</v>
      </c>
      <c r="Q339" s="53">
        <v>0</v>
      </c>
      <c r="R339" s="53">
        <v>0</v>
      </c>
      <c r="S339" s="53">
        <v>0</v>
      </c>
      <c r="T339" s="53">
        <v>0</v>
      </c>
      <c r="U339" s="53">
        <v>0</v>
      </c>
      <c r="V339" s="114">
        <f t="shared" si="96"/>
        <v>2021609.63</v>
      </c>
      <c r="W339" s="71">
        <v>2017</v>
      </c>
      <c r="X339" s="71">
        <v>2017</v>
      </c>
      <c r="Y339" s="171" t="s">
        <v>155</v>
      </c>
      <c r="Z339" s="172">
        <v>4</v>
      </c>
    </row>
    <row r="340" spans="1:26" s="24" customFormat="1" ht="17.25" customHeight="1">
      <c r="A340" s="51">
        <f t="shared" si="98"/>
        <v>286</v>
      </c>
      <c r="B340" s="52" t="s">
        <v>326</v>
      </c>
      <c r="C340" s="51">
        <v>1975</v>
      </c>
      <c r="D340" s="174">
        <v>2888.6</v>
      </c>
      <c r="E340" s="174">
        <v>2432.3000000000002</v>
      </c>
      <c r="F340" s="54">
        <f t="shared" si="97"/>
        <v>2224435.64</v>
      </c>
      <c r="G340" s="53">
        <v>0</v>
      </c>
      <c r="H340" s="53">
        <v>0</v>
      </c>
      <c r="I340" s="53">
        <v>0</v>
      </c>
      <c r="J340" s="76">
        <f>ROUND(914.54*E340,2)</f>
        <v>2224435.64</v>
      </c>
      <c r="K340" s="53">
        <f>J340/E340</f>
        <v>914.53999917773297</v>
      </c>
      <c r="L340" s="53">
        <v>0</v>
      </c>
      <c r="M340" s="53">
        <v>0</v>
      </c>
      <c r="N340" s="53">
        <v>0</v>
      </c>
      <c r="O340" s="53">
        <v>0</v>
      </c>
      <c r="P340" s="53">
        <v>0</v>
      </c>
      <c r="Q340" s="53">
        <v>0</v>
      </c>
      <c r="R340" s="53">
        <v>0</v>
      </c>
      <c r="S340" s="53">
        <v>0</v>
      </c>
      <c r="T340" s="53">
        <v>0</v>
      </c>
      <c r="U340" s="53">
        <v>0</v>
      </c>
      <c r="V340" s="114">
        <f t="shared" si="96"/>
        <v>2224435.64</v>
      </c>
      <c r="W340" s="71">
        <v>2017</v>
      </c>
      <c r="X340" s="71">
        <v>2017</v>
      </c>
      <c r="Y340" s="171" t="s">
        <v>155</v>
      </c>
      <c r="Z340" s="171">
        <v>5</v>
      </c>
    </row>
    <row r="341" spans="1:26" ht="17.25" customHeight="1">
      <c r="A341" s="352" t="s">
        <v>280</v>
      </c>
      <c r="B341" s="353"/>
      <c r="C341" s="57"/>
      <c r="D341" s="113">
        <f t="shared" ref="D341:V341" si="99">SUM(D333:D340)</f>
        <v>13806.3</v>
      </c>
      <c r="E341" s="113">
        <f t="shared" si="99"/>
        <v>12455.199999999997</v>
      </c>
      <c r="F341" s="56">
        <f t="shared" si="99"/>
        <v>13566122.149999999</v>
      </c>
      <c r="G341" s="56">
        <f t="shared" si="99"/>
        <v>221541.06</v>
      </c>
      <c r="H341" s="56"/>
      <c r="I341" s="56">
        <f t="shared" si="99"/>
        <v>0</v>
      </c>
      <c r="J341" s="56">
        <f t="shared" si="99"/>
        <v>6437385.25</v>
      </c>
      <c r="K341" s="56"/>
      <c r="L341" s="56">
        <f t="shared" si="99"/>
        <v>0</v>
      </c>
      <c r="M341" s="56">
        <f t="shared" si="99"/>
        <v>0</v>
      </c>
      <c r="N341" s="56">
        <f t="shared" si="99"/>
        <v>6907195.8399999999</v>
      </c>
      <c r="O341" s="56"/>
      <c r="P341" s="56">
        <f t="shared" si="99"/>
        <v>0</v>
      </c>
      <c r="Q341" s="56">
        <f t="shared" si="99"/>
        <v>0</v>
      </c>
      <c r="R341" s="56">
        <f t="shared" si="99"/>
        <v>0</v>
      </c>
      <c r="S341" s="56">
        <f t="shared" si="99"/>
        <v>0</v>
      </c>
      <c r="T341" s="56">
        <f t="shared" si="99"/>
        <v>0</v>
      </c>
      <c r="U341" s="56">
        <f t="shared" si="99"/>
        <v>0</v>
      </c>
      <c r="V341" s="113">
        <f t="shared" si="99"/>
        <v>13566122.149999999</v>
      </c>
      <c r="W341" s="22" t="s">
        <v>117</v>
      </c>
      <c r="X341" s="22" t="s">
        <v>117</v>
      </c>
    </row>
    <row r="342" spans="1:26" ht="17.25" customHeight="1">
      <c r="A342" s="354" t="s">
        <v>114</v>
      </c>
      <c r="B342" s="355"/>
      <c r="C342" s="355"/>
      <c r="D342" s="355"/>
      <c r="E342" s="355"/>
      <c r="F342" s="355"/>
      <c r="G342" s="355"/>
      <c r="H342" s="355"/>
      <c r="I342" s="355"/>
      <c r="J342" s="355"/>
      <c r="K342" s="355"/>
      <c r="L342" s="355"/>
      <c r="M342" s="355"/>
      <c r="N342" s="355"/>
      <c r="O342" s="355"/>
      <c r="P342" s="355"/>
      <c r="Q342" s="355"/>
      <c r="R342" s="355"/>
      <c r="S342" s="355"/>
      <c r="T342" s="355"/>
      <c r="U342" s="355"/>
      <c r="V342" s="360"/>
      <c r="W342" s="38"/>
      <c r="X342" s="38"/>
    </row>
    <row r="343" spans="1:26" ht="17.25" customHeight="1">
      <c r="A343" s="99">
        <f>A340+1</f>
        <v>287</v>
      </c>
      <c r="B343" s="232" t="s">
        <v>384</v>
      </c>
      <c r="C343" s="233">
        <v>1975</v>
      </c>
      <c r="D343" s="234">
        <v>859.7</v>
      </c>
      <c r="E343" s="234">
        <v>662.2</v>
      </c>
      <c r="F343" s="54">
        <f>G343+I343+J343+L343+N343+P343+R343</f>
        <v>1056348.06</v>
      </c>
      <c r="G343" s="53">
        <v>0</v>
      </c>
      <c r="H343" s="53"/>
      <c r="I343" s="53">
        <v>0</v>
      </c>
      <c r="J343" s="76">
        <f>ROUND(1595.21*E343,2)</f>
        <v>1056348.06</v>
      </c>
      <c r="K343" s="53">
        <f>J343/E343</f>
        <v>1595.2099969797644</v>
      </c>
      <c r="L343" s="53">
        <v>0</v>
      </c>
      <c r="M343" s="53"/>
      <c r="N343" s="53">
        <v>0</v>
      </c>
      <c r="O343" s="53"/>
      <c r="P343" s="53">
        <v>0</v>
      </c>
      <c r="Q343" s="53"/>
      <c r="R343" s="53">
        <v>0</v>
      </c>
      <c r="S343" s="53">
        <v>0</v>
      </c>
      <c r="T343" s="53">
        <v>0</v>
      </c>
      <c r="U343" s="53">
        <v>0</v>
      </c>
      <c r="V343" s="114">
        <f>F343</f>
        <v>1056348.06</v>
      </c>
      <c r="W343" s="71">
        <v>2017</v>
      </c>
      <c r="X343" s="71">
        <v>2017</v>
      </c>
      <c r="Y343" s="232" t="s">
        <v>386</v>
      </c>
      <c r="Z343" s="233">
        <v>2</v>
      </c>
    </row>
    <row r="344" spans="1:26" ht="17.25" customHeight="1">
      <c r="A344" s="187">
        <f>A343+1</f>
        <v>288</v>
      </c>
      <c r="B344" s="232" t="s">
        <v>385</v>
      </c>
      <c r="C344" s="233">
        <v>1966</v>
      </c>
      <c r="D344" s="234">
        <v>1853.2</v>
      </c>
      <c r="E344" s="234">
        <v>1280.4000000000001</v>
      </c>
      <c r="F344" s="54">
        <f>G344+I344+J344+L344+N344+P344+R344</f>
        <v>1170977.02</v>
      </c>
      <c r="G344" s="53">
        <v>0</v>
      </c>
      <c r="H344" s="53"/>
      <c r="I344" s="53">
        <v>0</v>
      </c>
      <c r="J344" s="76">
        <f>ROUND(914.54*E344,2)</f>
        <v>1170977.02</v>
      </c>
      <c r="K344" s="53">
        <f>J344/E344</f>
        <v>914.54000312402366</v>
      </c>
      <c r="L344" s="53">
        <v>0</v>
      </c>
      <c r="M344" s="53"/>
      <c r="N344" s="53">
        <v>0</v>
      </c>
      <c r="O344" s="53"/>
      <c r="P344" s="53">
        <v>0</v>
      </c>
      <c r="Q344" s="53"/>
      <c r="R344" s="53">
        <v>0</v>
      </c>
      <c r="S344" s="53">
        <v>0</v>
      </c>
      <c r="T344" s="53">
        <v>0</v>
      </c>
      <c r="U344" s="53">
        <v>0</v>
      </c>
      <c r="V344" s="114">
        <f>F344</f>
        <v>1170977.02</v>
      </c>
      <c r="W344" s="71">
        <v>2017</v>
      </c>
      <c r="X344" s="71">
        <v>2017</v>
      </c>
      <c r="Y344" s="232" t="s">
        <v>386</v>
      </c>
      <c r="Z344" s="233">
        <v>4</v>
      </c>
    </row>
    <row r="345" spans="1:26" ht="17.25" customHeight="1">
      <c r="A345" s="352" t="s">
        <v>280</v>
      </c>
      <c r="B345" s="353"/>
      <c r="C345" s="57"/>
      <c r="D345" s="113">
        <f>SUM(D343:D344)</f>
        <v>2712.9</v>
      </c>
      <c r="E345" s="113">
        <f>SUM(E343:E344)</f>
        <v>1942.6000000000001</v>
      </c>
      <c r="F345" s="56">
        <f>SUM(F343:F344)</f>
        <v>2227325.08</v>
      </c>
      <c r="G345" s="56">
        <f t="shared" ref="G345:U345" si="100">SUM(G343:G344)</f>
        <v>0</v>
      </c>
      <c r="H345" s="56">
        <f t="shared" si="100"/>
        <v>0</v>
      </c>
      <c r="I345" s="56">
        <f t="shared" si="100"/>
        <v>0</v>
      </c>
      <c r="J345" s="56">
        <f t="shared" si="100"/>
        <v>2227325.08</v>
      </c>
      <c r="K345" s="56"/>
      <c r="L345" s="56">
        <f t="shared" si="100"/>
        <v>0</v>
      </c>
      <c r="M345" s="56">
        <f t="shared" si="100"/>
        <v>0</v>
      </c>
      <c r="N345" s="56">
        <f t="shared" si="100"/>
        <v>0</v>
      </c>
      <c r="O345" s="56">
        <f t="shared" si="100"/>
        <v>0</v>
      </c>
      <c r="P345" s="56">
        <f t="shared" si="100"/>
        <v>0</v>
      </c>
      <c r="Q345" s="56">
        <f t="shared" si="100"/>
        <v>0</v>
      </c>
      <c r="R345" s="56">
        <f t="shared" si="100"/>
        <v>0</v>
      </c>
      <c r="S345" s="56">
        <f t="shared" si="100"/>
        <v>0</v>
      </c>
      <c r="T345" s="56">
        <f t="shared" si="100"/>
        <v>0</v>
      </c>
      <c r="U345" s="56">
        <f t="shared" si="100"/>
        <v>0</v>
      </c>
      <c r="V345" s="113">
        <f>SUM(V343:V344)</f>
        <v>2227325.08</v>
      </c>
      <c r="W345" s="22" t="s">
        <v>117</v>
      </c>
      <c r="X345" s="22" t="s">
        <v>117</v>
      </c>
    </row>
    <row r="346" spans="1:26" ht="17.25" customHeight="1">
      <c r="A346" s="354" t="s">
        <v>115</v>
      </c>
      <c r="B346" s="355"/>
      <c r="C346" s="355"/>
      <c r="D346" s="355"/>
      <c r="E346" s="355"/>
      <c r="F346" s="355"/>
      <c r="G346" s="355"/>
      <c r="H346" s="355"/>
      <c r="I346" s="355"/>
      <c r="J346" s="355"/>
      <c r="K346" s="355"/>
      <c r="L346" s="355"/>
      <c r="M346" s="355"/>
      <c r="N346" s="355"/>
      <c r="O346" s="355"/>
      <c r="P346" s="355"/>
      <c r="Q346" s="355"/>
      <c r="R346" s="355"/>
      <c r="S346" s="355"/>
      <c r="T346" s="355"/>
      <c r="U346" s="355"/>
      <c r="V346" s="360"/>
      <c r="W346" s="38"/>
      <c r="X346" s="38"/>
    </row>
    <row r="347" spans="1:26" ht="17.25" customHeight="1">
      <c r="A347" s="62">
        <f>A344+1</f>
        <v>289</v>
      </c>
      <c r="B347" s="177" t="s">
        <v>319</v>
      </c>
      <c r="C347" s="179">
        <v>1958</v>
      </c>
      <c r="D347" s="63">
        <v>694.3</v>
      </c>
      <c r="E347" s="183">
        <v>454.7</v>
      </c>
      <c r="F347" s="54">
        <f t="shared" ref="F347:F352" si="101">G347+I347+J347+L347+N347+P347+R347</f>
        <v>166420.20000000001</v>
      </c>
      <c r="G347" s="159">
        <f>ROUND((151+215)*E347,2)</f>
        <v>166420.20000000001</v>
      </c>
      <c r="H347" s="181"/>
      <c r="I347" s="53">
        <v>0</v>
      </c>
      <c r="J347" s="53">
        <v>0</v>
      </c>
      <c r="K347" s="53"/>
      <c r="L347" s="53">
        <v>0</v>
      </c>
      <c r="M347" s="53"/>
      <c r="N347" s="53">
        <v>0</v>
      </c>
      <c r="O347" s="53"/>
      <c r="P347" s="53">
        <v>0</v>
      </c>
      <c r="Q347" s="53"/>
      <c r="R347" s="53">
        <v>0</v>
      </c>
      <c r="S347" s="53">
        <v>0</v>
      </c>
      <c r="T347" s="53">
        <v>0</v>
      </c>
      <c r="U347" s="53">
        <v>0</v>
      </c>
      <c r="V347" s="114">
        <f t="shared" ref="V347:V352" si="102">F347</f>
        <v>166420.20000000001</v>
      </c>
      <c r="W347" s="71">
        <v>2017</v>
      </c>
      <c r="X347" s="71">
        <v>2017</v>
      </c>
      <c r="Y347" s="177" t="s">
        <v>155</v>
      </c>
      <c r="Z347" s="180">
        <v>2</v>
      </c>
    </row>
    <row r="348" spans="1:26" ht="17.25" customHeight="1">
      <c r="A348" s="62">
        <f>A347+1</f>
        <v>290</v>
      </c>
      <c r="B348" s="177" t="s">
        <v>320</v>
      </c>
      <c r="C348" s="179">
        <v>1963</v>
      </c>
      <c r="D348" s="63">
        <v>975.6</v>
      </c>
      <c r="E348" s="183">
        <v>636.6</v>
      </c>
      <c r="F348" s="54">
        <f t="shared" si="101"/>
        <v>232995.6</v>
      </c>
      <c r="G348" s="159">
        <f>ROUND((151+215)*E348,2)</f>
        <v>232995.6</v>
      </c>
      <c r="H348" s="181"/>
      <c r="I348" s="53">
        <v>0</v>
      </c>
      <c r="J348" s="53">
        <v>0</v>
      </c>
      <c r="K348" s="53"/>
      <c r="L348" s="53">
        <v>0</v>
      </c>
      <c r="M348" s="53"/>
      <c r="N348" s="53">
        <v>0</v>
      </c>
      <c r="O348" s="53"/>
      <c r="P348" s="53">
        <v>0</v>
      </c>
      <c r="Q348" s="53"/>
      <c r="R348" s="53">
        <v>0</v>
      </c>
      <c r="S348" s="53">
        <v>0</v>
      </c>
      <c r="T348" s="53">
        <v>0</v>
      </c>
      <c r="U348" s="53">
        <v>0</v>
      </c>
      <c r="V348" s="114">
        <f t="shared" si="102"/>
        <v>232995.6</v>
      </c>
      <c r="W348" s="71">
        <v>2017</v>
      </c>
      <c r="X348" s="71">
        <v>2017</v>
      </c>
      <c r="Y348" s="177" t="s">
        <v>155</v>
      </c>
      <c r="Z348" s="180">
        <v>3</v>
      </c>
    </row>
    <row r="349" spans="1:26" ht="17.25" customHeight="1">
      <c r="A349" s="62">
        <f>A348+1</f>
        <v>291</v>
      </c>
      <c r="B349" s="177" t="s">
        <v>116</v>
      </c>
      <c r="C349" s="179">
        <v>1980</v>
      </c>
      <c r="D349" s="184">
        <v>3886.7</v>
      </c>
      <c r="E349" s="185">
        <v>2929.4</v>
      </c>
      <c r="F349" s="54">
        <f t="shared" si="101"/>
        <v>1072160.3999999999</v>
      </c>
      <c r="G349" s="159">
        <f>ROUND((151+215)*E349,2)</f>
        <v>1072160.3999999999</v>
      </c>
      <c r="H349" s="182"/>
      <c r="I349" s="53">
        <v>0</v>
      </c>
      <c r="J349" s="53">
        <v>0</v>
      </c>
      <c r="K349" s="53"/>
      <c r="L349" s="53">
        <v>0</v>
      </c>
      <c r="M349" s="53"/>
      <c r="N349" s="53">
        <v>0</v>
      </c>
      <c r="O349" s="53"/>
      <c r="P349" s="53">
        <v>0</v>
      </c>
      <c r="Q349" s="53"/>
      <c r="R349" s="53">
        <v>0</v>
      </c>
      <c r="S349" s="53">
        <v>0</v>
      </c>
      <c r="T349" s="53">
        <v>0</v>
      </c>
      <c r="U349" s="53">
        <v>0</v>
      </c>
      <c r="V349" s="114">
        <f>F349</f>
        <v>1072160.3999999999</v>
      </c>
      <c r="W349" s="71">
        <v>2017</v>
      </c>
      <c r="X349" s="71">
        <v>2017</v>
      </c>
      <c r="Y349" s="177" t="s">
        <v>155</v>
      </c>
      <c r="Z349" s="135">
        <v>5</v>
      </c>
    </row>
    <row r="350" spans="1:26" ht="17.25" customHeight="1">
      <c r="A350" s="62">
        <f>A349+1</f>
        <v>292</v>
      </c>
      <c r="B350" s="177" t="s">
        <v>321</v>
      </c>
      <c r="C350" s="179">
        <v>1981</v>
      </c>
      <c r="D350" s="63">
        <v>7263.7</v>
      </c>
      <c r="E350" s="183">
        <v>6213.3</v>
      </c>
      <c r="F350" s="54">
        <f t="shared" si="101"/>
        <v>3500000</v>
      </c>
      <c r="G350" s="53">
        <v>0</v>
      </c>
      <c r="H350" s="182"/>
      <c r="I350" s="53">
        <v>3500000</v>
      </c>
      <c r="J350" s="53">
        <v>0</v>
      </c>
      <c r="K350" s="53"/>
      <c r="L350" s="53">
        <v>0</v>
      </c>
      <c r="M350" s="53"/>
      <c r="N350" s="53">
        <v>0</v>
      </c>
      <c r="O350" s="53"/>
      <c r="P350" s="53">
        <v>0</v>
      </c>
      <c r="Q350" s="53"/>
      <c r="R350" s="53">
        <v>0</v>
      </c>
      <c r="S350" s="53">
        <v>0</v>
      </c>
      <c r="T350" s="53">
        <v>0</v>
      </c>
      <c r="U350" s="53">
        <v>0</v>
      </c>
      <c r="V350" s="114">
        <f>F350</f>
        <v>3500000</v>
      </c>
      <c r="W350" s="71">
        <v>2017</v>
      </c>
      <c r="X350" s="71">
        <v>2017</v>
      </c>
      <c r="Y350" s="177" t="s">
        <v>154</v>
      </c>
      <c r="Z350" s="135">
        <v>9</v>
      </c>
    </row>
    <row r="351" spans="1:26" ht="17.25" customHeight="1">
      <c r="A351" s="62">
        <f>A350+1</f>
        <v>293</v>
      </c>
      <c r="B351" s="177" t="s">
        <v>327</v>
      </c>
      <c r="C351" s="179">
        <v>1983</v>
      </c>
      <c r="D351" s="63">
        <v>4395.7</v>
      </c>
      <c r="E351" s="183">
        <v>3799.3</v>
      </c>
      <c r="F351" s="54">
        <f t="shared" si="101"/>
        <v>1052634.06</v>
      </c>
      <c r="G351" s="159">
        <f>ROUND((107.99+169.07)*E351,2)</f>
        <v>1052634.06</v>
      </c>
      <c r="H351" s="182"/>
      <c r="I351" s="53">
        <v>0</v>
      </c>
      <c r="J351" s="53">
        <v>0</v>
      </c>
      <c r="K351" s="53"/>
      <c r="L351" s="53">
        <v>0</v>
      </c>
      <c r="M351" s="53"/>
      <c r="N351" s="53">
        <v>0</v>
      </c>
      <c r="O351" s="53"/>
      <c r="P351" s="53">
        <v>0</v>
      </c>
      <c r="Q351" s="53"/>
      <c r="R351" s="53">
        <v>0</v>
      </c>
      <c r="S351" s="53">
        <v>0</v>
      </c>
      <c r="T351" s="53">
        <v>0</v>
      </c>
      <c r="U351" s="53">
        <v>0</v>
      </c>
      <c r="V351" s="114">
        <f t="shared" si="102"/>
        <v>1052634.06</v>
      </c>
      <c r="W351" s="71">
        <v>2017</v>
      </c>
      <c r="X351" s="71">
        <v>2017</v>
      </c>
      <c r="Y351" s="177" t="s">
        <v>154</v>
      </c>
      <c r="Z351" s="135">
        <v>9</v>
      </c>
    </row>
    <row r="352" spans="1:26" ht="17.25" customHeight="1">
      <c r="A352" s="62">
        <f>A351+1</f>
        <v>294</v>
      </c>
      <c r="B352" s="177" t="s">
        <v>328</v>
      </c>
      <c r="C352" s="179">
        <v>1992</v>
      </c>
      <c r="D352" s="65">
        <v>5629.58</v>
      </c>
      <c r="E352" s="183">
        <v>4757</v>
      </c>
      <c r="F352" s="54">
        <f t="shared" si="101"/>
        <v>1317974.42</v>
      </c>
      <c r="G352" s="159">
        <f>ROUND((107.99+169.07)*E352,2)</f>
        <v>1317974.42</v>
      </c>
      <c r="H352" s="182"/>
      <c r="I352" s="53">
        <v>0</v>
      </c>
      <c r="J352" s="53">
        <v>0</v>
      </c>
      <c r="K352" s="53"/>
      <c r="L352" s="53">
        <v>0</v>
      </c>
      <c r="M352" s="53"/>
      <c r="N352" s="53">
        <v>0</v>
      </c>
      <c r="O352" s="53"/>
      <c r="P352" s="53">
        <v>0</v>
      </c>
      <c r="Q352" s="53"/>
      <c r="R352" s="53">
        <v>0</v>
      </c>
      <c r="S352" s="53">
        <v>0</v>
      </c>
      <c r="T352" s="53">
        <v>0</v>
      </c>
      <c r="U352" s="53">
        <v>0</v>
      </c>
      <c r="V352" s="114">
        <f t="shared" si="102"/>
        <v>1317974.42</v>
      </c>
      <c r="W352" s="71">
        <v>2017</v>
      </c>
      <c r="X352" s="71">
        <v>2017</v>
      </c>
      <c r="Y352" s="177" t="s">
        <v>154</v>
      </c>
      <c r="Z352" s="135">
        <v>9</v>
      </c>
    </row>
    <row r="353" spans="1:26" ht="17.25" customHeight="1">
      <c r="A353" s="352" t="s">
        <v>280</v>
      </c>
      <c r="B353" s="353"/>
      <c r="C353" s="57"/>
      <c r="D353" s="113">
        <f>SUM(D347:D352)</f>
        <v>22845.58</v>
      </c>
      <c r="E353" s="70">
        <f>SUM(E347:E352)</f>
        <v>18790.3</v>
      </c>
      <c r="F353" s="56">
        <f t="shared" ref="F353:V353" si="103">SUM(F347:F352)</f>
        <v>7342184.6799999997</v>
      </c>
      <c r="G353" s="50">
        <f>SUM(G347:G352)</f>
        <v>3842184.6799999997</v>
      </c>
      <c r="H353" s="50"/>
      <c r="I353" s="50">
        <f t="shared" si="103"/>
        <v>3500000</v>
      </c>
      <c r="J353" s="50">
        <f t="shared" si="103"/>
        <v>0</v>
      </c>
      <c r="K353" s="50">
        <f t="shared" si="103"/>
        <v>0</v>
      </c>
      <c r="L353" s="50">
        <f t="shared" si="103"/>
        <v>0</v>
      </c>
      <c r="M353" s="50">
        <f t="shared" si="103"/>
        <v>0</v>
      </c>
      <c r="N353" s="50">
        <f t="shared" si="103"/>
        <v>0</v>
      </c>
      <c r="O353" s="50">
        <f t="shared" si="103"/>
        <v>0</v>
      </c>
      <c r="P353" s="50">
        <f t="shared" si="103"/>
        <v>0</v>
      </c>
      <c r="Q353" s="50">
        <f t="shared" si="103"/>
        <v>0</v>
      </c>
      <c r="R353" s="50">
        <f t="shared" si="103"/>
        <v>0</v>
      </c>
      <c r="S353" s="50">
        <f t="shared" si="103"/>
        <v>0</v>
      </c>
      <c r="T353" s="50">
        <f t="shared" si="103"/>
        <v>0</v>
      </c>
      <c r="U353" s="50">
        <f>SUM(U347:U352)</f>
        <v>0</v>
      </c>
      <c r="V353" s="113">
        <f t="shared" si="103"/>
        <v>7342184.6799999997</v>
      </c>
      <c r="W353" s="22" t="s">
        <v>117</v>
      </c>
      <c r="X353" s="22" t="s">
        <v>117</v>
      </c>
    </row>
    <row r="354" spans="1:26" ht="17.25" customHeight="1">
      <c r="A354" s="354" t="s">
        <v>82</v>
      </c>
      <c r="B354" s="355"/>
      <c r="C354" s="355"/>
      <c r="D354" s="355"/>
      <c r="E354" s="355"/>
      <c r="F354" s="355"/>
      <c r="G354" s="355"/>
      <c r="H354" s="355"/>
      <c r="I354" s="355"/>
      <c r="J354" s="355"/>
      <c r="K354" s="355"/>
      <c r="L354" s="355"/>
      <c r="M354" s="355"/>
      <c r="N354" s="355"/>
      <c r="O354" s="355"/>
      <c r="P354" s="355"/>
      <c r="Q354" s="355"/>
      <c r="R354" s="355"/>
      <c r="S354" s="355"/>
      <c r="T354" s="355"/>
      <c r="U354" s="355"/>
      <c r="V354" s="360"/>
      <c r="W354" s="23"/>
      <c r="X354" s="23"/>
    </row>
    <row r="355" spans="1:26" ht="17.25" customHeight="1">
      <c r="A355" s="51">
        <f>A352+1</f>
        <v>295</v>
      </c>
      <c r="B355" s="213" t="s">
        <v>372</v>
      </c>
      <c r="C355" s="214">
        <v>1985</v>
      </c>
      <c r="D355" s="216">
        <v>2703.3</v>
      </c>
      <c r="E355" s="216">
        <v>2609.1999999999998</v>
      </c>
      <c r="F355" s="54">
        <f>G355+I355+J355+L355+N355+P355+R355</f>
        <v>4021580.94</v>
      </c>
      <c r="G355" s="53">
        <v>0</v>
      </c>
      <c r="H355" s="53">
        <v>0</v>
      </c>
      <c r="I355" s="217">
        <v>4021580.94</v>
      </c>
      <c r="J355" s="53">
        <v>0</v>
      </c>
      <c r="K355" s="53">
        <f>J355/E355</f>
        <v>0</v>
      </c>
      <c r="L355" s="53">
        <v>0</v>
      </c>
      <c r="M355" s="53"/>
      <c r="N355" s="53">
        <v>0</v>
      </c>
      <c r="O355" s="53"/>
      <c r="P355" s="53">
        <v>0</v>
      </c>
      <c r="Q355" s="53"/>
      <c r="R355" s="53">
        <v>0</v>
      </c>
      <c r="S355" s="53">
        <v>0</v>
      </c>
      <c r="T355" s="53">
        <v>0</v>
      </c>
      <c r="U355" s="53">
        <v>0</v>
      </c>
      <c r="V355" s="114">
        <f>F355</f>
        <v>4021580.94</v>
      </c>
      <c r="W355" s="71">
        <v>2017</v>
      </c>
      <c r="X355" s="71">
        <v>2017</v>
      </c>
      <c r="Y355" s="213" t="s">
        <v>154</v>
      </c>
      <c r="Z355" s="215">
        <v>9</v>
      </c>
    </row>
    <row r="356" spans="1:26" ht="17.25" customHeight="1">
      <c r="A356" s="51">
        <f>A355+1</f>
        <v>296</v>
      </c>
      <c r="B356" s="213" t="s">
        <v>373</v>
      </c>
      <c r="C356" s="214">
        <v>1955</v>
      </c>
      <c r="D356" s="216">
        <v>686.7</v>
      </c>
      <c r="E356" s="216">
        <v>607.4</v>
      </c>
      <c r="F356" s="54">
        <f>G356+I356+J356+L356+N356+P356+R356</f>
        <v>968930.55</v>
      </c>
      <c r="G356" s="53">
        <v>0</v>
      </c>
      <c r="H356" s="53"/>
      <c r="I356" s="53">
        <v>0</v>
      </c>
      <c r="J356" s="76">
        <f>ROUND(1595.21*E356,2)</f>
        <v>968930.55</v>
      </c>
      <c r="K356" s="53">
        <f>J356/E356</f>
        <v>1595.209993414554</v>
      </c>
      <c r="L356" s="53">
        <v>0</v>
      </c>
      <c r="M356" s="53"/>
      <c r="N356" s="53">
        <v>0</v>
      </c>
      <c r="O356" s="53"/>
      <c r="P356" s="53">
        <v>0</v>
      </c>
      <c r="Q356" s="53"/>
      <c r="R356" s="53">
        <v>0</v>
      </c>
      <c r="S356" s="53">
        <v>0</v>
      </c>
      <c r="T356" s="53">
        <v>0</v>
      </c>
      <c r="U356" s="53">
        <v>0</v>
      </c>
      <c r="V356" s="114">
        <f>F356</f>
        <v>968930.55</v>
      </c>
      <c r="W356" s="71">
        <v>2017</v>
      </c>
      <c r="X356" s="71">
        <v>2017</v>
      </c>
      <c r="Y356" s="213" t="s">
        <v>155</v>
      </c>
      <c r="Z356" s="215">
        <v>2</v>
      </c>
    </row>
    <row r="357" spans="1:26" ht="17.25" customHeight="1">
      <c r="A357" s="51">
        <f>A356+1</f>
        <v>297</v>
      </c>
      <c r="B357" s="213" t="s">
        <v>374</v>
      </c>
      <c r="C357" s="214">
        <v>1952</v>
      </c>
      <c r="D357" s="216">
        <v>448.6</v>
      </c>
      <c r="E357" s="216">
        <v>402.8</v>
      </c>
      <c r="F357" s="54">
        <f>G357+I357+J357+L357+N357+P357+R357</f>
        <v>1434882.36</v>
      </c>
      <c r="G357" s="53">
        <v>0</v>
      </c>
      <c r="H357" s="53"/>
      <c r="I357" s="53">
        <v>0</v>
      </c>
      <c r="J357" s="76">
        <f>ROUND(3562.27*E357,2)</f>
        <v>1434882.36</v>
      </c>
      <c r="K357" s="53">
        <f>J357/E357</f>
        <v>3562.2700099304866</v>
      </c>
      <c r="L357" s="53">
        <v>0</v>
      </c>
      <c r="M357" s="53"/>
      <c r="N357" s="53">
        <v>0</v>
      </c>
      <c r="O357" s="53"/>
      <c r="P357" s="53">
        <v>0</v>
      </c>
      <c r="Q357" s="53"/>
      <c r="R357" s="53">
        <v>0</v>
      </c>
      <c r="S357" s="53">
        <v>0</v>
      </c>
      <c r="T357" s="53">
        <v>0</v>
      </c>
      <c r="U357" s="53">
        <v>0</v>
      </c>
      <c r="V357" s="114">
        <f>F357</f>
        <v>1434882.36</v>
      </c>
      <c r="W357" s="71">
        <v>2017</v>
      </c>
      <c r="X357" s="71">
        <v>2017</v>
      </c>
      <c r="Y357" s="213" t="s">
        <v>377</v>
      </c>
      <c r="Z357" s="215">
        <v>2</v>
      </c>
    </row>
    <row r="358" spans="1:26" ht="17.25" customHeight="1">
      <c r="A358" s="51">
        <f>A357+1</f>
        <v>298</v>
      </c>
      <c r="B358" s="213" t="s">
        <v>375</v>
      </c>
      <c r="C358" s="214">
        <v>1965</v>
      </c>
      <c r="D358" s="216">
        <v>1499.3</v>
      </c>
      <c r="E358" s="216">
        <v>1392.7</v>
      </c>
      <c r="F358" s="54">
        <f>G358+I358+J358+L358+N358+P358+R358</f>
        <v>2221648.9700000002</v>
      </c>
      <c r="G358" s="53">
        <v>0</v>
      </c>
      <c r="H358" s="53"/>
      <c r="I358" s="53">
        <v>0</v>
      </c>
      <c r="J358" s="76">
        <f>ROUND(1595.21*E358,2)</f>
        <v>2221648.9700000002</v>
      </c>
      <c r="K358" s="53">
        <f>J358/E358</f>
        <v>1595.2100021540894</v>
      </c>
      <c r="L358" s="53">
        <v>0</v>
      </c>
      <c r="M358" s="53"/>
      <c r="N358" s="53">
        <v>0</v>
      </c>
      <c r="O358" s="53"/>
      <c r="P358" s="53">
        <v>0</v>
      </c>
      <c r="Q358" s="53"/>
      <c r="R358" s="53">
        <v>0</v>
      </c>
      <c r="S358" s="53">
        <v>0</v>
      </c>
      <c r="T358" s="53">
        <v>0</v>
      </c>
      <c r="U358" s="53">
        <v>0</v>
      </c>
      <c r="V358" s="114">
        <f>F358</f>
        <v>2221648.9700000002</v>
      </c>
      <c r="W358" s="71">
        <v>2017</v>
      </c>
      <c r="X358" s="71">
        <v>2017</v>
      </c>
      <c r="Y358" s="213" t="s">
        <v>155</v>
      </c>
      <c r="Z358" s="215">
        <v>4</v>
      </c>
    </row>
    <row r="359" spans="1:26" ht="17.25" customHeight="1">
      <c r="A359" s="51">
        <f>A358+1</f>
        <v>299</v>
      </c>
      <c r="B359" s="213" t="s">
        <v>376</v>
      </c>
      <c r="C359" s="214">
        <v>1970</v>
      </c>
      <c r="D359" s="216">
        <v>4912.3999999999996</v>
      </c>
      <c r="E359" s="216">
        <v>4525.8999999999996</v>
      </c>
      <c r="F359" s="54">
        <f>G359+I359+J359+L359+N359+P359+R359</f>
        <v>4139116.59</v>
      </c>
      <c r="G359" s="53">
        <v>0</v>
      </c>
      <c r="H359" s="53"/>
      <c r="I359" s="53">
        <v>0</v>
      </c>
      <c r="J359" s="76">
        <f>ROUND(914.54*E359,2)</f>
        <v>4139116.59</v>
      </c>
      <c r="K359" s="53">
        <f>J359/E359</f>
        <v>914.54000088380212</v>
      </c>
      <c r="L359" s="53">
        <v>0</v>
      </c>
      <c r="M359" s="25"/>
      <c r="N359" s="53">
        <v>0</v>
      </c>
      <c r="O359" s="53">
        <f>N359/E359</f>
        <v>0</v>
      </c>
      <c r="P359" s="53">
        <v>0</v>
      </c>
      <c r="Q359" s="53"/>
      <c r="R359" s="53">
        <v>0</v>
      </c>
      <c r="S359" s="53">
        <v>0</v>
      </c>
      <c r="T359" s="53">
        <v>0</v>
      </c>
      <c r="U359" s="53">
        <v>0</v>
      </c>
      <c r="V359" s="114">
        <f>F359</f>
        <v>4139116.59</v>
      </c>
      <c r="W359" s="71">
        <v>2017</v>
      </c>
      <c r="X359" s="71">
        <v>2017</v>
      </c>
      <c r="Y359" s="213" t="s">
        <v>155</v>
      </c>
      <c r="Z359" s="215">
        <v>5</v>
      </c>
    </row>
    <row r="360" spans="1:26" ht="17.25" customHeight="1">
      <c r="A360" s="352" t="s">
        <v>280</v>
      </c>
      <c r="B360" s="353"/>
      <c r="C360" s="57"/>
      <c r="D360" s="70">
        <f>SUM(D355:D359)</f>
        <v>10250.299999999999</v>
      </c>
      <c r="E360" s="70">
        <f>SUM(E355:E359)</f>
        <v>9538</v>
      </c>
      <c r="F360" s="56">
        <f t="shared" ref="F360:V360" si="104">SUM(F355:F359)</f>
        <v>12786159.41</v>
      </c>
      <c r="G360" s="50">
        <f t="shared" si="104"/>
        <v>0</v>
      </c>
      <c r="H360" s="50"/>
      <c r="I360" s="50">
        <f t="shared" si="104"/>
        <v>4021580.94</v>
      </c>
      <c r="J360" s="50">
        <f t="shared" si="104"/>
        <v>8764578.4700000007</v>
      </c>
      <c r="K360" s="50"/>
      <c r="L360" s="50">
        <f t="shared" si="104"/>
        <v>0</v>
      </c>
      <c r="M360" s="50"/>
      <c r="N360" s="50">
        <f t="shared" si="104"/>
        <v>0</v>
      </c>
      <c r="O360" s="50"/>
      <c r="P360" s="50">
        <f t="shared" si="104"/>
        <v>0</v>
      </c>
      <c r="Q360" s="50"/>
      <c r="R360" s="50">
        <f t="shared" si="104"/>
        <v>0</v>
      </c>
      <c r="S360" s="50">
        <f t="shared" si="104"/>
        <v>0</v>
      </c>
      <c r="T360" s="50">
        <f t="shared" si="104"/>
        <v>0</v>
      </c>
      <c r="U360" s="50">
        <f t="shared" si="104"/>
        <v>0</v>
      </c>
      <c r="V360" s="113">
        <f t="shared" si="104"/>
        <v>12786159.41</v>
      </c>
      <c r="W360" s="22" t="s">
        <v>117</v>
      </c>
      <c r="X360" s="22" t="s">
        <v>117</v>
      </c>
    </row>
    <row r="361" spans="1:26" ht="17.25" customHeight="1">
      <c r="A361" s="354" t="s">
        <v>27</v>
      </c>
      <c r="B361" s="355"/>
      <c r="C361" s="355"/>
      <c r="D361" s="355"/>
      <c r="E361" s="355"/>
      <c r="F361" s="355"/>
      <c r="G361" s="355"/>
      <c r="H361" s="355"/>
      <c r="I361" s="355"/>
      <c r="J361" s="355"/>
      <c r="K361" s="355"/>
      <c r="L361" s="355"/>
      <c r="M361" s="355"/>
      <c r="N361" s="355"/>
      <c r="O361" s="355"/>
      <c r="P361" s="355"/>
      <c r="Q361" s="355"/>
      <c r="R361" s="355"/>
      <c r="S361" s="355"/>
      <c r="T361" s="355"/>
      <c r="U361" s="355"/>
      <c r="V361" s="360"/>
      <c r="W361" s="71"/>
      <c r="X361" s="71"/>
    </row>
    <row r="362" spans="1:26" ht="17.25" customHeight="1">
      <c r="A362" s="75">
        <f>A359+1</f>
        <v>300</v>
      </c>
      <c r="B362" s="145" t="s">
        <v>388</v>
      </c>
      <c r="C362" s="148">
        <v>1983</v>
      </c>
      <c r="D362" s="69">
        <v>3836</v>
      </c>
      <c r="E362" s="146">
        <v>3381.4</v>
      </c>
      <c r="F362" s="54">
        <f>G362+I362+J362+L362+N362+P362+R362</f>
        <v>3140170.92</v>
      </c>
      <c r="G362" s="53">
        <v>0</v>
      </c>
      <c r="H362" s="53"/>
      <c r="I362" s="53">
        <v>0</v>
      </c>
      <c r="J362" s="76">
        <f>ROUND(928.66*E362,2)</f>
        <v>3140170.92</v>
      </c>
      <c r="K362" s="53">
        <f>J362/E362</f>
        <v>928.65999881705795</v>
      </c>
      <c r="L362" s="53">
        <v>0</v>
      </c>
      <c r="M362" s="53"/>
      <c r="N362" s="53">
        <v>0</v>
      </c>
      <c r="O362" s="53"/>
      <c r="P362" s="53">
        <v>0</v>
      </c>
      <c r="Q362" s="53"/>
      <c r="R362" s="53">
        <v>0</v>
      </c>
      <c r="S362" s="53">
        <v>0</v>
      </c>
      <c r="T362" s="53">
        <v>0</v>
      </c>
      <c r="U362" s="53">
        <v>0</v>
      </c>
      <c r="V362" s="114">
        <f>F362</f>
        <v>3140170.92</v>
      </c>
      <c r="W362" s="71">
        <v>2017</v>
      </c>
      <c r="X362" s="71">
        <v>2017</v>
      </c>
      <c r="Y362" s="235" t="s">
        <v>387</v>
      </c>
      <c r="Z362" s="135">
        <v>5</v>
      </c>
    </row>
    <row r="363" spans="1:26" ht="17.25" customHeight="1">
      <c r="A363" s="352" t="s">
        <v>280</v>
      </c>
      <c r="B363" s="353"/>
      <c r="C363" s="57"/>
      <c r="D363" s="113">
        <f t="shared" ref="D363:J363" si="105">SUM(D362:D362)</f>
        <v>3836</v>
      </c>
      <c r="E363" s="113">
        <f t="shared" si="105"/>
        <v>3381.4</v>
      </c>
      <c r="F363" s="56">
        <f t="shared" si="105"/>
        <v>3140170.92</v>
      </c>
      <c r="G363" s="56">
        <f t="shared" si="105"/>
        <v>0</v>
      </c>
      <c r="H363" s="56">
        <f t="shared" si="105"/>
        <v>0</v>
      </c>
      <c r="I363" s="56">
        <f t="shared" si="105"/>
        <v>0</v>
      </c>
      <c r="J363" s="56">
        <f t="shared" si="105"/>
        <v>3140170.92</v>
      </c>
      <c r="K363" s="56"/>
      <c r="L363" s="56">
        <f t="shared" ref="L363:V363" si="106">SUM(L362:L362)</f>
        <v>0</v>
      </c>
      <c r="M363" s="56">
        <f t="shared" si="106"/>
        <v>0</v>
      </c>
      <c r="N363" s="56">
        <f t="shared" si="106"/>
        <v>0</v>
      </c>
      <c r="O363" s="56">
        <f t="shared" si="106"/>
        <v>0</v>
      </c>
      <c r="P363" s="56">
        <f t="shared" si="106"/>
        <v>0</v>
      </c>
      <c r="Q363" s="56">
        <f t="shared" si="106"/>
        <v>0</v>
      </c>
      <c r="R363" s="56">
        <f t="shared" si="106"/>
        <v>0</v>
      </c>
      <c r="S363" s="56">
        <f t="shared" si="106"/>
        <v>0</v>
      </c>
      <c r="T363" s="56">
        <f t="shared" si="106"/>
        <v>0</v>
      </c>
      <c r="U363" s="56">
        <f t="shared" si="106"/>
        <v>0</v>
      </c>
      <c r="V363" s="113">
        <f t="shared" si="106"/>
        <v>3140170.92</v>
      </c>
      <c r="W363" s="22" t="s">
        <v>117</v>
      </c>
      <c r="X363" s="22" t="s">
        <v>117</v>
      </c>
    </row>
    <row r="364" spans="1:26" ht="17.25" customHeight="1">
      <c r="A364" s="354" t="s">
        <v>378</v>
      </c>
      <c r="B364" s="355"/>
      <c r="C364" s="355"/>
      <c r="D364" s="355"/>
      <c r="E364" s="355"/>
      <c r="F364" s="355"/>
      <c r="G364" s="355"/>
      <c r="H364" s="355"/>
      <c r="I364" s="355"/>
      <c r="J364" s="355"/>
      <c r="K364" s="355"/>
      <c r="L364" s="355"/>
      <c r="M364" s="355"/>
      <c r="N364" s="355"/>
      <c r="O364" s="355"/>
      <c r="P364" s="355"/>
      <c r="Q364" s="355"/>
      <c r="R364" s="355"/>
      <c r="S364" s="355"/>
      <c r="T364" s="355"/>
      <c r="U364" s="355"/>
      <c r="V364" s="360"/>
      <c r="W364" s="23"/>
      <c r="X364" s="23"/>
    </row>
    <row r="365" spans="1:26" ht="17.25" customHeight="1">
      <c r="A365" s="51">
        <f>A362+1</f>
        <v>301</v>
      </c>
      <c r="B365" s="52" t="s">
        <v>379</v>
      </c>
      <c r="C365" s="51">
        <v>1971</v>
      </c>
      <c r="D365" s="68">
        <v>3419.5</v>
      </c>
      <c r="E365" s="69">
        <v>3349.84</v>
      </c>
      <c r="F365" s="54">
        <f>G365+I365+J365+L365+N365+P365+R365</f>
        <v>2954893.86</v>
      </c>
      <c r="G365" s="53">
        <v>0</v>
      </c>
      <c r="H365" s="53">
        <f>G365/E365</f>
        <v>0</v>
      </c>
      <c r="I365" s="53">
        <v>0</v>
      </c>
      <c r="J365" s="53">
        <v>0</v>
      </c>
      <c r="K365" s="53"/>
      <c r="L365" s="53">
        <v>0</v>
      </c>
      <c r="M365" s="53">
        <f>L365/E365</f>
        <v>0</v>
      </c>
      <c r="N365" s="53">
        <f>ROUND(882.1*E365,2)</f>
        <v>2954893.86</v>
      </c>
      <c r="O365" s="53">
        <f>N365/E365</f>
        <v>882.09999880591306</v>
      </c>
      <c r="P365" s="53">
        <v>0</v>
      </c>
      <c r="Q365" s="53"/>
      <c r="R365" s="53">
        <v>0</v>
      </c>
      <c r="S365" s="53">
        <v>0</v>
      </c>
      <c r="T365" s="53">
        <v>0</v>
      </c>
      <c r="U365" s="53">
        <v>0</v>
      </c>
      <c r="V365" s="111">
        <f>F365</f>
        <v>2954893.86</v>
      </c>
      <c r="W365" s="71">
        <v>2017</v>
      </c>
      <c r="X365" s="71">
        <v>2017</v>
      </c>
      <c r="Y365" s="213" t="s">
        <v>155</v>
      </c>
      <c r="Z365" s="215">
        <v>5</v>
      </c>
    </row>
    <row r="366" spans="1:26" ht="17.25" customHeight="1">
      <c r="A366" s="352" t="s">
        <v>280</v>
      </c>
      <c r="B366" s="353"/>
      <c r="C366" s="57"/>
      <c r="D366" s="70">
        <f>SUM(D365:D365)</f>
        <v>3419.5</v>
      </c>
      <c r="E366" s="113">
        <f>SUM(E365:E365)</f>
        <v>3349.84</v>
      </c>
      <c r="F366" s="56">
        <f>SUM(F365:F365)</f>
        <v>2954893.86</v>
      </c>
      <c r="G366" s="50">
        <f>SUM(G365:G365)</f>
        <v>0</v>
      </c>
      <c r="H366" s="50"/>
      <c r="I366" s="50">
        <f>SUM(I365:I365)</f>
        <v>0</v>
      </c>
      <c r="J366" s="50">
        <f>SUM(J365:J365)</f>
        <v>0</v>
      </c>
      <c r="K366" s="50"/>
      <c r="L366" s="50">
        <f>SUM(L365:L365)</f>
        <v>0</v>
      </c>
      <c r="M366" s="50"/>
      <c r="N366" s="50">
        <f>SUM(N365:N365)</f>
        <v>2954893.86</v>
      </c>
      <c r="O366" s="50"/>
      <c r="P366" s="50">
        <f>SUM(P365:P365)</f>
        <v>0</v>
      </c>
      <c r="Q366" s="50"/>
      <c r="R366" s="50">
        <f>SUM(R365:R365)</f>
        <v>0</v>
      </c>
      <c r="S366" s="50">
        <f>SUM(S365:S365)</f>
        <v>0</v>
      </c>
      <c r="T366" s="50">
        <f>SUM(T365:T365)</f>
        <v>0</v>
      </c>
      <c r="U366" s="50">
        <f>SUM(U365:U365)</f>
        <v>0</v>
      </c>
      <c r="V366" s="113">
        <f>SUM(V365:V365)</f>
        <v>2954893.86</v>
      </c>
      <c r="W366" s="22" t="s">
        <v>117</v>
      </c>
      <c r="X366" s="22" t="s">
        <v>117</v>
      </c>
      <c r="Y366" s="218"/>
    </row>
    <row r="367" spans="1:26" ht="17.25" customHeight="1">
      <c r="A367" s="352" t="s">
        <v>283</v>
      </c>
      <c r="B367" s="358"/>
      <c r="C367" s="57"/>
      <c r="D367" s="113">
        <f>D366+D363+D360+D353+D345+D341+D331+D327</f>
        <v>66032.98</v>
      </c>
      <c r="E367" s="113">
        <f>E366+E363+E360+E353+E345+E341+E331+E327</f>
        <v>58067.14</v>
      </c>
      <c r="F367" s="56">
        <f>F366+F363+F360+F353+F345+F341+F331+F327</f>
        <v>52651251.709999993</v>
      </c>
      <c r="G367" s="56">
        <f>G366+G363+G360+G353+G345+G341+G331+G327</f>
        <v>4063725.7399999998</v>
      </c>
      <c r="H367" s="56"/>
      <c r="I367" s="56">
        <f>I366+I363+I360+I353+I345+I341+I331+I327</f>
        <v>7521580.9399999995</v>
      </c>
      <c r="J367" s="56">
        <f>J366+J363+J360+J353+J345+J341+J331+J327</f>
        <v>31203855.329999998</v>
      </c>
      <c r="K367" s="56"/>
      <c r="L367" s="56">
        <f>L366+L363+L360+L353+L345+L341+L331+L327</f>
        <v>0</v>
      </c>
      <c r="M367" s="56">
        <f>M366+M363+M360+M353+M345+M341+M331+M327</f>
        <v>0</v>
      </c>
      <c r="N367" s="56">
        <f>N366+N363+N360+N353+N345+N341+N331+N327</f>
        <v>9862089.6999999993</v>
      </c>
      <c r="O367" s="56"/>
      <c r="P367" s="56">
        <f t="shared" ref="P367:V367" si="107">P366+P363+P360+P353+P345+P341+P331+P327</f>
        <v>0</v>
      </c>
      <c r="Q367" s="56">
        <f t="shared" si="107"/>
        <v>0</v>
      </c>
      <c r="R367" s="56">
        <f t="shared" si="107"/>
        <v>0</v>
      </c>
      <c r="S367" s="56">
        <f t="shared" si="107"/>
        <v>0</v>
      </c>
      <c r="T367" s="56">
        <f t="shared" si="107"/>
        <v>0</v>
      </c>
      <c r="U367" s="56">
        <f t="shared" si="107"/>
        <v>0</v>
      </c>
      <c r="V367" s="113">
        <f t="shared" si="107"/>
        <v>52651251.709999993</v>
      </c>
      <c r="W367" s="22" t="s">
        <v>117</v>
      </c>
      <c r="X367" s="22" t="s">
        <v>117</v>
      </c>
    </row>
    <row r="368" spans="1:26" ht="17.25" customHeight="1">
      <c r="A368" s="354" t="s">
        <v>85</v>
      </c>
      <c r="B368" s="355"/>
      <c r="C368" s="355"/>
      <c r="D368" s="355"/>
      <c r="E368" s="355"/>
      <c r="F368" s="355"/>
      <c r="G368" s="355"/>
      <c r="H368" s="355"/>
      <c r="I368" s="355"/>
      <c r="J368" s="355"/>
      <c r="K368" s="355"/>
      <c r="L368" s="355"/>
      <c r="M368" s="355"/>
      <c r="N368" s="355"/>
      <c r="O368" s="355"/>
      <c r="P368" s="355"/>
      <c r="Q368" s="355"/>
      <c r="R368" s="355"/>
      <c r="S368" s="355"/>
      <c r="T368" s="355"/>
      <c r="U368" s="355"/>
      <c r="V368" s="360"/>
      <c r="W368" s="23"/>
      <c r="X368" s="23"/>
    </row>
    <row r="369" spans="1:27" ht="17.25" customHeight="1">
      <c r="A369" s="354" t="s">
        <v>86</v>
      </c>
      <c r="B369" s="355"/>
      <c r="C369" s="355"/>
      <c r="D369" s="355"/>
      <c r="E369" s="355"/>
      <c r="F369" s="355"/>
      <c r="G369" s="355"/>
      <c r="H369" s="355"/>
      <c r="I369" s="355"/>
      <c r="J369" s="355"/>
      <c r="K369" s="355"/>
      <c r="L369" s="355"/>
      <c r="M369" s="355"/>
      <c r="N369" s="355"/>
      <c r="O369" s="355"/>
      <c r="P369" s="355"/>
      <c r="Q369" s="355"/>
      <c r="R369" s="355"/>
      <c r="S369" s="355"/>
      <c r="T369" s="355"/>
      <c r="U369" s="355"/>
      <c r="V369" s="360"/>
      <c r="W369" s="23"/>
      <c r="X369" s="23"/>
    </row>
    <row r="370" spans="1:27" ht="17.25" customHeight="1">
      <c r="A370" s="51">
        <f>A365+1</f>
        <v>302</v>
      </c>
      <c r="B370" s="219" t="s">
        <v>87</v>
      </c>
      <c r="C370" s="220" t="s">
        <v>66</v>
      </c>
      <c r="D370" s="67">
        <v>683.2</v>
      </c>
      <c r="E370" s="222">
        <v>634.9</v>
      </c>
      <c r="F370" s="54">
        <f>G370+I370+J370+L370+N370+P370+R370</f>
        <v>2044447.84</v>
      </c>
      <c r="G370" s="223">
        <f>ROUND(493.96*E370,2)</f>
        <v>313615.2</v>
      </c>
      <c r="H370" s="53">
        <f>G370/E370</f>
        <v>493.95999369979529</v>
      </c>
      <c r="I370" s="53">
        <v>0</v>
      </c>
      <c r="J370" s="76">
        <f>ROUND(1595.21*E370,2)</f>
        <v>1012798.83</v>
      </c>
      <c r="K370" s="53">
        <f>J370/E370</f>
        <v>1595.2100015750511</v>
      </c>
      <c r="L370" s="53">
        <v>0</v>
      </c>
      <c r="M370" s="53"/>
      <c r="N370" s="76">
        <f>ROUND(882.1*E370,2)</f>
        <v>560045.29</v>
      </c>
      <c r="O370" s="53">
        <f>N370/E370</f>
        <v>882.10000000000014</v>
      </c>
      <c r="P370" s="236">
        <f>ROUND(248.84*E370,2)</f>
        <v>157988.51999999999</v>
      </c>
      <c r="Q370" s="53">
        <f>P370/E370</f>
        <v>248.84000630020475</v>
      </c>
      <c r="R370" s="53">
        <v>0</v>
      </c>
      <c r="S370" s="53">
        <v>0</v>
      </c>
      <c r="T370" s="53">
        <v>0</v>
      </c>
      <c r="U370" s="53">
        <v>0</v>
      </c>
      <c r="V370" s="111">
        <f>F370</f>
        <v>2044447.84</v>
      </c>
      <c r="W370" s="71">
        <v>2017</v>
      </c>
      <c r="X370" s="71">
        <v>2017</v>
      </c>
      <c r="Y370" s="219" t="s">
        <v>155</v>
      </c>
      <c r="Z370" s="220" t="s">
        <v>16</v>
      </c>
    </row>
    <row r="371" spans="1:27" ht="17.25" customHeight="1">
      <c r="A371" s="51">
        <f>A370+1</f>
        <v>303</v>
      </c>
      <c r="B371" s="172" t="s">
        <v>380</v>
      </c>
      <c r="C371" s="221">
        <v>1969</v>
      </c>
      <c r="D371" s="67">
        <v>2145.6</v>
      </c>
      <c r="E371" s="222">
        <v>1813.6</v>
      </c>
      <c r="F371" s="54">
        <f>G371+I371+J371+L371+N371+P371+R371</f>
        <v>663777.6</v>
      </c>
      <c r="G371" s="223">
        <f>ROUND((151+215)*E371,2)</f>
        <v>663777.6</v>
      </c>
      <c r="H371" s="53">
        <f>G371/E371</f>
        <v>366</v>
      </c>
      <c r="I371" s="53">
        <v>0</v>
      </c>
      <c r="J371" s="53">
        <v>0</v>
      </c>
      <c r="K371" s="53"/>
      <c r="L371" s="53">
        <v>0</v>
      </c>
      <c r="M371" s="53"/>
      <c r="N371" s="53">
        <v>0</v>
      </c>
      <c r="O371" s="53"/>
      <c r="P371" s="53">
        <v>0</v>
      </c>
      <c r="Q371" s="53"/>
      <c r="R371" s="53">
        <v>0</v>
      </c>
      <c r="S371" s="53">
        <v>0</v>
      </c>
      <c r="T371" s="53">
        <v>0</v>
      </c>
      <c r="U371" s="53">
        <v>0</v>
      </c>
      <c r="V371" s="111">
        <f>F371</f>
        <v>663777.6</v>
      </c>
      <c r="W371" s="71">
        <v>2017</v>
      </c>
      <c r="X371" s="71">
        <v>2017</v>
      </c>
      <c r="Y371" s="172" t="s">
        <v>155</v>
      </c>
      <c r="Z371" s="221">
        <v>5</v>
      </c>
    </row>
    <row r="372" spans="1:27" ht="17.25" customHeight="1">
      <c r="A372" s="352" t="s">
        <v>280</v>
      </c>
      <c r="B372" s="353"/>
      <c r="C372" s="57"/>
      <c r="D372" s="70">
        <f>SUM(D370:D371)</f>
        <v>2828.8</v>
      </c>
      <c r="E372" s="70">
        <f>SUM(E370:E371)</f>
        <v>2448.5</v>
      </c>
      <c r="F372" s="56">
        <f>SUM(F370:F371)</f>
        <v>2708225.44</v>
      </c>
      <c r="G372" s="50">
        <f>SUM(G370:G371)</f>
        <v>977392.8</v>
      </c>
      <c r="H372" s="50"/>
      <c r="I372" s="50">
        <f>SUM(I370:I371)</f>
        <v>0</v>
      </c>
      <c r="J372" s="50">
        <f>SUM(J370:J371)</f>
        <v>1012798.83</v>
      </c>
      <c r="K372" s="50"/>
      <c r="L372" s="50">
        <f>SUM(L370:L371)</f>
        <v>0</v>
      </c>
      <c r="M372" s="50"/>
      <c r="N372" s="50">
        <f>SUM(N370:N371)</f>
        <v>560045.29</v>
      </c>
      <c r="O372" s="50"/>
      <c r="P372" s="50">
        <f>SUM(P370:P371)</f>
        <v>157988.51999999999</v>
      </c>
      <c r="Q372" s="50"/>
      <c r="R372" s="50">
        <f>SUM(R370:R371)</f>
        <v>0</v>
      </c>
      <c r="S372" s="50">
        <f>SUM(S370:S371)</f>
        <v>0</v>
      </c>
      <c r="T372" s="50">
        <f>SUM(T370:T371)</f>
        <v>0</v>
      </c>
      <c r="U372" s="50">
        <f>SUM(U370:U371)</f>
        <v>0</v>
      </c>
      <c r="V372" s="113">
        <f>SUM(V370:V371)</f>
        <v>2708225.44</v>
      </c>
      <c r="W372" s="22" t="s">
        <v>117</v>
      </c>
      <c r="X372" s="22" t="s">
        <v>117</v>
      </c>
    </row>
    <row r="373" spans="1:27" ht="17.25" customHeight="1">
      <c r="A373" s="354" t="s">
        <v>88</v>
      </c>
      <c r="B373" s="355"/>
      <c r="C373" s="355"/>
      <c r="D373" s="355"/>
      <c r="E373" s="355"/>
      <c r="F373" s="355"/>
      <c r="G373" s="355"/>
      <c r="H373" s="355"/>
      <c r="I373" s="355"/>
      <c r="J373" s="355"/>
      <c r="K373" s="355"/>
      <c r="L373" s="355"/>
      <c r="M373" s="355"/>
      <c r="N373" s="355"/>
      <c r="O373" s="355"/>
      <c r="P373" s="355"/>
      <c r="Q373" s="355"/>
      <c r="R373" s="355"/>
      <c r="S373" s="355"/>
      <c r="T373" s="355"/>
      <c r="U373" s="355"/>
      <c r="V373" s="360"/>
      <c r="W373" s="23"/>
      <c r="X373" s="23"/>
    </row>
    <row r="374" spans="1:27" s="24" customFormat="1" ht="17.25" customHeight="1">
      <c r="A374" s="51">
        <f>A371+1</f>
        <v>304</v>
      </c>
      <c r="B374" s="224" t="s">
        <v>381</v>
      </c>
      <c r="C374" s="226">
        <v>1963</v>
      </c>
      <c r="D374" s="228">
        <v>1145.4000000000001</v>
      </c>
      <c r="E374" s="228">
        <v>1094.8</v>
      </c>
      <c r="F374" s="54">
        <f>G374+I374+J374+L374+N374+P374+R374</f>
        <v>4031929.44</v>
      </c>
      <c r="G374" s="53">
        <f>ROUND((518.04+151+215+321.45)*E374,2)</f>
        <v>1319770.45</v>
      </c>
      <c r="H374" s="54">
        <f>G374/E374</f>
        <v>1205.4899981731824</v>
      </c>
      <c r="I374" s="53">
        <v>0</v>
      </c>
      <c r="J374" s="76">
        <f>ROUND(1595.21*E374,2)</f>
        <v>1746435.91</v>
      </c>
      <c r="K374" s="53">
        <f>J374/E374</f>
        <v>1595.2100018268177</v>
      </c>
      <c r="L374" s="53">
        <v>0</v>
      </c>
      <c r="M374" s="53"/>
      <c r="N374" s="53">
        <f>ROUND(882.1*E374,2)</f>
        <v>965723.08</v>
      </c>
      <c r="O374" s="53">
        <f>N374/E374</f>
        <v>882.1</v>
      </c>
      <c r="P374" s="53">
        <v>0</v>
      </c>
      <c r="Q374" s="53">
        <f>P374/E374</f>
        <v>0</v>
      </c>
      <c r="R374" s="53">
        <v>0</v>
      </c>
      <c r="S374" s="53">
        <v>0</v>
      </c>
      <c r="T374" s="53">
        <v>0</v>
      </c>
      <c r="U374" s="53">
        <v>0</v>
      </c>
      <c r="V374" s="111">
        <f>F374</f>
        <v>4031929.44</v>
      </c>
      <c r="W374" s="71">
        <v>2017</v>
      </c>
      <c r="X374" s="71">
        <v>2017</v>
      </c>
      <c r="Y374" s="224" t="s">
        <v>382</v>
      </c>
      <c r="Z374" s="230">
        <v>3</v>
      </c>
      <c r="AA374" s="24" t="str">
        <f>[2]Реестр!$AX$5773</f>
        <v>скатная</v>
      </c>
    </row>
    <row r="375" spans="1:27" s="24" customFormat="1" ht="17.25" customHeight="1">
      <c r="A375" s="51">
        <f>A374+1</f>
        <v>305</v>
      </c>
      <c r="B375" s="224" t="s">
        <v>389</v>
      </c>
      <c r="C375" s="226">
        <v>1961</v>
      </c>
      <c r="D375" s="228">
        <v>1179.3</v>
      </c>
      <c r="E375" s="228">
        <v>1106.5</v>
      </c>
      <c r="F375" s="54">
        <f>G375+I375+J375+L375+N375+P375+R375</f>
        <v>4075018.21</v>
      </c>
      <c r="G375" s="53">
        <f>ROUND((518.04+151+215+321.45)*E375,2)</f>
        <v>1333874.69</v>
      </c>
      <c r="H375" s="54">
        <f>G375/E375</f>
        <v>1205.4900045187528</v>
      </c>
      <c r="I375" s="53">
        <v>0</v>
      </c>
      <c r="J375" s="76">
        <f>ROUND(1595.21*E375,2)</f>
        <v>1765099.87</v>
      </c>
      <c r="K375" s="53">
        <f>J375/E375</f>
        <v>1595.2100045187528</v>
      </c>
      <c r="L375" s="53">
        <v>0</v>
      </c>
      <c r="M375" s="53"/>
      <c r="N375" s="53">
        <f>ROUND(882.1*E375,2)</f>
        <v>976043.65</v>
      </c>
      <c r="O375" s="53">
        <f>N375/E375</f>
        <v>882.1</v>
      </c>
      <c r="P375" s="53">
        <v>0</v>
      </c>
      <c r="Q375" s="53">
        <f>P375/E375</f>
        <v>0</v>
      </c>
      <c r="R375" s="53">
        <v>0</v>
      </c>
      <c r="S375" s="53">
        <v>0</v>
      </c>
      <c r="T375" s="53">
        <v>0</v>
      </c>
      <c r="U375" s="53">
        <v>0</v>
      </c>
      <c r="V375" s="111">
        <f>F375</f>
        <v>4075018.21</v>
      </c>
      <c r="W375" s="71">
        <v>2017</v>
      </c>
      <c r="X375" s="71">
        <v>2017</v>
      </c>
      <c r="Y375" s="224" t="s">
        <v>382</v>
      </c>
      <c r="Z375" s="230">
        <v>3</v>
      </c>
      <c r="AA375" s="24" t="str">
        <f>[2]Реестр!$AX$5774</f>
        <v>скатная</v>
      </c>
    </row>
    <row r="376" spans="1:27" s="24" customFormat="1" ht="17.25" customHeight="1">
      <c r="A376" s="51">
        <f>A375+1</f>
        <v>306</v>
      </c>
      <c r="B376" s="225" t="s">
        <v>122</v>
      </c>
      <c r="C376" s="227">
        <v>1977</v>
      </c>
      <c r="D376" s="229">
        <v>4469.2</v>
      </c>
      <c r="E376" s="229">
        <v>3871.1</v>
      </c>
      <c r="F376" s="54">
        <f>G376+I376+J376+L376+N376+P376+R376</f>
        <v>2358970.92</v>
      </c>
      <c r="G376" s="53">
        <v>0</v>
      </c>
      <c r="H376" s="54">
        <f>G376/E376</f>
        <v>0</v>
      </c>
      <c r="I376" s="53">
        <v>0</v>
      </c>
      <c r="J376" s="76">
        <f>ROUND(609.38*E376,2)</f>
        <v>2358970.92</v>
      </c>
      <c r="K376" s="53">
        <f>J376/E376</f>
        <v>609.38000051664903</v>
      </c>
      <c r="L376" s="53">
        <v>0</v>
      </c>
      <c r="M376" s="53"/>
      <c r="N376" s="53">
        <v>0</v>
      </c>
      <c r="O376" s="53">
        <f>N376/E376</f>
        <v>0</v>
      </c>
      <c r="P376" s="53">
        <v>0</v>
      </c>
      <c r="Q376" s="53"/>
      <c r="R376" s="53">
        <v>0</v>
      </c>
      <c r="S376" s="53">
        <v>0</v>
      </c>
      <c r="T376" s="53">
        <v>0</v>
      </c>
      <c r="U376" s="53">
        <v>0</v>
      </c>
      <c r="V376" s="111">
        <f>F376</f>
        <v>2358970.92</v>
      </c>
      <c r="W376" s="71">
        <v>2017</v>
      </c>
      <c r="X376" s="71">
        <v>2017</v>
      </c>
      <c r="Y376" s="225" t="s">
        <v>383</v>
      </c>
      <c r="Z376" s="231">
        <v>9</v>
      </c>
      <c r="AA376" s="24" t="str">
        <f>[2]Реестр!$AX$5799</f>
        <v>плоская</v>
      </c>
    </row>
    <row r="377" spans="1:27" ht="17.25" customHeight="1">
      <c r="A377" s="352" t="s">
        <v>280</v>
      </c>
      <c r="B377" s="353"/>
      <c r="C377" s="97"/>
      <c r="D377" s="70">
        <f>SUM(D374:D376)</f>
        <v>6793.9</v>
      </c>
      <c r="E377" s="70">
        <f t="shared" ref="E377:V377" si="108">SUM(E374:E376)</f>
        <v>6072.4</v>
      </c>
      <c r="F377" s="56">
        <f t="shared" si="108"/>
        <v>10465918.57</v>
      </c>
      <c r="G377" s="56">
        <f t="shared" si="108"/>
        <v>2653645.1399999997</v>
      </c>
      <c r="H377" s="56"/>
      <c r="I377" s="56">
        <f t="shared" si="108"/>
        <v>0</v>
      </c>
      <c r="J377" s="56">
        <f t="shared" si="108"/>
        <v>5870506.7000000002</v>
      </c>
      <c r="K377" s="56"/>
      <c r="L377" s="56">
        <f t="shared" si="108"/>
        <v>0</v>
      </c>
      <c r="M377" s="56">
        <f t="shared" si="108"/>
        <v>0</v>
      </c>
      <c r="N377" s="56">
        <f t="shared" si="108"/>
        <v>1941766.73</v>
      </c>
      <c r="O377" s="56"/>
      <c r="P377" s="56">
        <f t="shared" si="108"/>
        <v>0</v>
      </c>
      <c r="Q377" s="56">
        <f t="shared" si="108"/>
        <v>0</v>
      </c>
      <c r="R377" s="56">
        <f t="shared" si="108"/>
        <v>0</v>
      </c>
      <c r="S377" s="56">
        <f t="shared" si="108"/>
        <v>0</v>
      </c>
      <c r="T377" s="56">
        <f t="shared" si="108"/>
        <v>0</v>
      </c>
      <c r="U377" s="56">
        <f t="shared" si="108"/>
        <v>0</v>
      </c>
      <c r="V377" s="113">
        <f t="shared" si="108"/>
        <v>10465918.57</v>
      </c>
      <c r="W377" s="22" t="s">
        <v>117</v>
      </c>
      <c r="X377" s="22" t="s">
        <v>117</v>
      </c>
    </row>
    <row r="378" spans="1:27" ht="17.25" customHeight="1">
      <c r="A378" s="352" t="s">
        <v>282</v>
      </c>
      <c r="B378" s="358"/>
      <c r="C378" s="57"/>
      <c r="D378" s="70">
        <f t="shared" ref="D378:V378" si="109">D372+D377</f>
        <v>9622.7000000000007</v>
      </c>
      <c r="E378" s="70">
        <f t="shared" si="109"/>
        <v>8520.9</v>
      </c>
      <c r="F378" s="56">
        <f t="shared" si="109"/>
        <v>13174144.01</v>
      </c>
      <c r="G378" s="56">
        <f t="shared" si="109"/>
        <v>3631037.9399999995</v>
      </c>
      <c r="H378" s="56"/>
      <c r="I378" s="56">
        <f t="shared" si="109"/>
        <v>0</v>
      </c>
      <c r="J378" s="56">
        <f t="shared" si="109"/>
        <v>6883305.5300000003</v>
      </c>
      <c r="K378" s="56"/>
      <c r="L378" s="56">
        <f t="shared" si="109"/>
        <v>0</v>
      </c>
      <c r="M378" s="56">
        <f t="shared" si="109"/>
        <v>0</v>
      </c>
      <c r="N378" s="56">
        <f t="shared" si="109"/>
        <v>2501812.02</v>
      </c>
      <c r="O378" s="56"/>
      <c r="P378" s="56">
        <f t="shared" si="109"/>
        <v>157988.51999999999</v>
      </c>
      <c r="Q378" s="56">
        <f t="shared" si="109"/>
        <v>0</v>
      </c>
      <c r="R378" s="56">
        <f t="shared" si="109"/>
        <v>0</v>
      </c>
      <c r="S378" s="56">
        <f t="shared" si="109"/>
        <v>0</v>
      </c>
      <c r="T378" s="56">
        <f t="shared" si="109"/>
        <v>0</v>
      </c>
      <c r="U378" s="56">
        <f t="shared" si="109"/>
        <v>0</v>
      </c>
      <c r="V378" s="113">
        <f t="shared" si="109"/>
        <v>13174144.01</v>
      </c>
      <c r="W378" s="22" t="s">
        <v>117</v>
      </c>
      <c r="X378" s="22" t="s">
        <v>117</v>
      </c>
    </row>
    <row r="379" spans="1:27" ht="17.25" customHeight="1">
      <c r="A379" s="354" t="s">
        <v>89</v>
      </c>
      <c r="B379" s="355"/>
      <c r="C379" s="355"/>
      <c r="D379" s="355"/>
      <c r="E379" s="355"/>
      <c r="F379" s="355"/>
      <c r="G379" s="355"/>
      <c r="H379" s="355"/>
      <c r="I379" s="355"/>
      <c r="J379" s="355"/>
      <c r="K379" s="355"/>
      <c r="L379" s="355"/>
      <c r="M379" s="355"/>
      <c r="N379" s="355"/>
      <c r="O379" s="355"/>
      <c r="P379" s="355"/>
      <c r="Q379" s="355"/>
      <c r="R379" s="355"/>
      <c r="S379" s="355"/>
      <c r="T379" s="355"/>
      <c r="U379" s="355"/>
      <c r="V379" s="360"/>
      <c r="W379" s="23"/>
      <c r="X379" s="23"/>
    </row>
    <row r="380" spans="1:27" ht="17.25" customHeight="1">
      <c r="A380" s="354" t="s">
        <v>90</v>
      </c>
      <c r="B380" s="355"/>
      <c r="C380" s="355"/>
      <c r="D380" s="355"/>
      <c r="E380" s="355"/>
      <c r="F380" s="355"/>
      <c r="G380" s="355"/>
      <c r="H380" s="355"/>
      <c r="I380" s="355"/>
      <c r="J380" s="355"/>
      <c r="K380" s="355"/>
      <c r="L380" s="355"/>
      <c r="M380" s="355"/>
      <c r="N380" s="355"/>
      <c r="O380" s="355"/>
      <c r="P380" s="355"/>
      <c r="Q380" s="355"/>
      <c r="R380" s="355"/>
      <c r="S380" s="355"/>
      <c r="T380" s="355"/>
      <c r="U380" s="355"/>
      <c r="V380" s="360"/>
      <c r="W380" s="23"/>
      <c r="X380" s="23"/>
    </row>
    <row r="381" spans="1:27" s="24" customFormat="1" ht="17.25" customHeight="1">
      <c r="A381" s="51">
        <f>A376+1</f>
        <v>307</v>
      </c>
      <c r="B381" s="261" t="s">
        <v>449</v>
      </c>
      <c r="C381" s="262" t="s">
        <v>100</v>
      </c>
      <c r="D381" s="269">
        <v>3013.1</v>
      </c>
      <c r="E381" s="269">
        <v>2701.8</v>
      </c>
      <c r="F381" s="54">
        <f t="shared" ref="F381:F398" si="110">G381+I381+J381+L381+N381+P381+R381</f>
        <v>1338174.52</v>
      </c>
      <c r="G381" s="326">
        <f>ROUND(495.29*E381,2)</f>
        <v>1338174.52</v>
      </c>
      <c r="H381" s="327">
        <f>G381/E381</f>
        <v>495.28999925975273</v>
      </c>
      <c r="I381" s="327">
        <v>0</v>
      </c>
      <c r="J381" s="327">
        <v>0</v>
      </c>
      <c r="K381" s="327"/>
      <c r="L381" s="327">
        <v>0</v>
      </c>
      <c r="M381" s="327"/>
      <c r="N381" s="327">
        <v>0</v>
      </c>
      <c r="O381" s="327"/>
      <c r="P381" s="327">
        <v>0</v>
      </c>
      <c r="Q381" s="327"/>
      <c r="R381" s="327">
        <v>0</v>
      </c>
      <c r="S381" s="327">
        <v>0</v>
      </c>
      <c r="T381" s="327">
        <v>0</v>
      </c>
      <c r="U381" s="327">
        <v>0</v>
      </c>
      <c r="V381" s="328">
        <f>F381</f>
        <v>1338174.52</v>
      </c>
      <c r="W381" s="252">
        <v>2017</v>
      </c>
      <c r="X381" s="252">
        <v>2017</v>
      </c>
      <c r="Y381" s="171" t="s">
        <v>154</v>
      </c>
      <c r="Z381" s="329">
        <v>5</v>
      </c>
    </row>
    <row r="382" spans="1:27" s="24" customFormat="1" ht="17.25" customHeight="1">
      <c r="A382" s="51">
        <f>A381+1</f>
        <v>308</v>
      </c>
      <c r="B382" s="261" t="s">
        <v>91</v>
      </c>
      <c r="C382" s="262" t="s">
        <v>18</v>
      </c>
      <c r="D382" s="269">
        <v>1720.1</v>
      </c>
      <c r="E382" s="269">
        <v>1155.3</v>
      </c>
      <c r="F382" s="54">
        <f t="shared" si="110"/>
        <v>570671.99</v>
      </c>
      <c r="G382" s="54">
        <f>ROUND(493.96*E382,2)</f>
        <v>570671.99</v>
      </c>
      <c r="H382" s="53">
        <f t="shared" ref="H382:H393" si="111">G382/E382</f>
        <v>493.96000173115209</v>
      </c>
      <c r="I382" s="53">
        <v>0</v>
      </c>
      <c r="J382" s="53">
        <v>0</v>
      </c>
      <c r="K382" s="53"/>
      <c r="L382" s="53">
        <v>0</v>
      </c>
      <c r="M382" s="53"/>
      <c r="N382" s="53">
        <v>0</v>
      </c>
      <c r="O382" s="53"/>
      <c r="P382" s="53">
        <v>0</v>
      </c>
      <c r="Q382" s="53"/>
      <c r="R382" s="53">
        <v>0</v>
      </c>
      <c r="S382" s="53">
        <v>0</v>
      </c>
      <c r="T382" s="53">
        <v>0</v>
      </c>
      <c r="U382" s="53">
        <v>0</v>
      </c>
      <c r="V382" s="111">
        <f t="shared" ref="V382:V398" si="112">F382</f>
        <v>570671.99</v>
      </c>
      <c r="W382" s="71">
        <v>2017</v>
      </c>
      <c r="X382" s="71">
        <v>2017</v>
      </c>
      <c r="Y382" s="330" t="s">
        <v>155</v>
      </c>
      <c r="Z382" s="329">
        <v>3</v>
      </c>
    </row>
    <row r="383" spans="1:27" s="24" customFormat="1" ht="17.25" customHeight="1">
      <c r="A383" s="51">
        <f t="shared" ref="A383:A398" si="113">A382+1</f>
        <v>309</v>
      </c>
      <c r="B383" s="261" t="s">
        <v>450</v>
      </c>
      <c r="C383" s="262" t="s">
        <v>19</v>
      </c>
      <c r="D383" s="269">
        <v>1288.5999999999999</v>
      </c>
      <c r="E383" s="269">
        <v>1154.4000000000001</v>
      </c>
      <c r="F383" s="54">
        <f t="shared" si="110"/>
        <v>598025.38</v>
      </c>
      <c r="G383" s="54">
        <f>ROUND(518.04*E383,2)</f>
        <v>598025.38</v>
      </c>
      <c r="H383" s="53">
        <f t="shared" si="111"/>
        <v>518.04000346500345</v>
      </c>
      <c r="I383" s="53">
        <v>0</v>
      </c>
      <c r="J383" s="53">
        <v>0</v>
      </c>
      <c r="K383" s="53"/>
      <c r="L383" s="53">
        <v>0</v>
      </c>
      <c r="M383" s="53"/>
      <c r="N383" s="53">
        <v>0</v>
      </c>
      <c r="O383" s="53"/>
      <c r="P383" s="53">
        <v>0</v>
      </c>
      <c r="Q383" s="53"/>
      <c r="R383" s="53">
        <v>0</v>
      </c>
      <c r="S383" s="53">
        <v>0</v>
      </c>
      <c r="T383" s="53">
        <v>0</v>
      </c>
      <c r="U383" s="53">
        <v>0</v>
      </c>
      <c r="V383" s="111">
        <f t="shared" si="112"/>
        <v>598025.38</v>
      </c>
      <c r="W383" s="71">
        <v>2017</v>
      </c>
      <c r="X383" s="71">
        <v>2017</v>
      </c>
      <c r="Y383" s="330" t="s">
        <v>155</v>
      </c>
      <c r="Z383" s="233">
        <v>3</v>
      </c>
    </row>
    <row r="384" spans="1:27" s="24" customFormat="1" ht="17.25" customHeight="1">
      <c r="A384" s="51">
        <f t="shared" si="113"/>
        <v>310</v>
      </c>
      <c r="B384" s="263" t="s">
        <v>451</v>
      </c>
      <c r="C384" s="264" t="s">
        <v>19</v>
      </c>
      <c r="D384" s="270">
        <v>2769.3</v>
      </c>
      <c r="E384" s="270">
        <v>1881.9</v>
      </c>
      <c r="F384" s="54">
        <f t="shared" si="110"/>
        <v>1904482.8</v>
      </c>
      <c r="G384" s="54">
        <f>ROUND((518.04+493.96)*E384,2)</f>
        <v>1904482.8</v>
      </c>
      <c r="H384" s="53">
        <f t="shared" si="111"/>
        <v>1012</v>
      </c>
      <c r="I384" s="53">
        <v>0</v>
      </c>
      <c r="J384" s="53">
        <v>0</v>
      </c>
      <c r="K384" s="53"/>
      <c r="L384" s="53">
        <v>0</v>
      </c>
      <c r="M384" s="53"/>
      <c r="N384" s="53">
        <v>0</v>
      </c>
      <c r="O384" s="53"/>
      <c r="P384" s="53">
        <v>0</v>
      </c>
      <c r="Q384" s="53"/>
      <c r="R384" s="53">
        <v>0</v>
      </c>
      <c r="S384" s="53">
        <v>0</v>
      </c>
      <c r="T384" s="53">
        <v>0</v>
      </c>
      <c r="U384" s="53">
        <v>0</v>
      </c>
      <c r="V384" s="111">
        <f t="shared" si="112"/>
        <v>1904482.8</v>
      </c>
      <c r="W384" s="71">
        <v>2017</v>
      </c>
      <c r="X384" s="71">
        <v>2017</v>
      </c>
      <c r="Y384" s="330" t="s">
        <v>155</v>
      </c>
      <c r="Z384" s="331">
        <v>3</v>
      </c>
    </row>
    <row r="385" spans="1:26" s="24" customFormat="1" ht="17.25" customHeight="1">
      <c r="A385" s="51">
        <f t="shared" si="113"/>
        <v>311</v>
      </c>
      <c r="B385" s="265" t="s">
        <v>452</v>
      </c>
      <c r="C385" s="266" t="s">
        <v>84</v>
      </c>
      <c r="D385" s="269">
        <v>4430.8</v>
      </c>
      <c r="E385" s="269">
        <v>3455</v>
      </c>
      <c r="F385" s="54">
        <f t="shared" si="110"/>
        <v>1706631.8</v>
      </c>
      <c r="G385" s="54">
        <f>ROUND(493.96*E385,2)</f>
        <v>1706631.8</v>
      </c>
      <c r="H385" s="53">
        <f t="shared" si="111"/>
        <v>493.96000000000004</v>
      </c>
      <c r="I385" s="53">
        <v>0</v>
      </c>
      <c r="J385" s="53">
        <v>0</v>
      </c>
      <c r="K385" s="53"/>
      <c r="L385" s="53">
        <v>0</v>
      </c>
      <c r="M385" s="53"/>
      <c r="N385" s="53">
        <v>0</v>
      </c>
      <c r="O385" s="53"/>
      <c r="P385" s="53">
        <v>0</v>
      </c>
      <c r="Q385" s="53"/>
      <c r="R385" s="53">
        <v>0</v>
      </c>
      <c r="S385" s="53">
        <v>0</v>
      </c>
      <c r="T385" s="53">
        <v>0</v>
      </c>
      <c r="U385" s="53">
        <v>0</v>
      </c>
      <c r="V385" s="111">
        <f t="shared" si="112"/>
        <v>1706631.8</v>
      </c>
      <c r="W385" s="71">
        <v>2017</v>
      </c>
      <c r="X385" s="71">
        <v>2017</v>
      </c>
      <c r="Y385" s="330" t="s">
        <v>155</v>
      </c>
      <c r="Z385" s="329">
        <v>5</v>
      </c>
    </row>
    <row r="386" spans="1:26" s="24" customFormat="1" ht="17.25" customHeight="1">
      <c r="A386" s="51">
        <f t="shared" si="113"/>
        <v>312</v>
      </c>
      <c r="B386" s="265" t="s">
        <v>453</v>
      </c>
      <c r="C386" s="266" t="s">
        <v>84</v>
      </c>
      <c r="D386" s="269">
        <v>5013.8</v>
      </c>
      <c r="E386" s="269">
        <v>4597.8999999999996</v>
      </c>
      <c r="F386" s="54">
        <f t="shared" si="110"/>
        <v>2271178.6800000002</v>
      </c>
      <c r="G386" s="54">
        <f>ROUND(493.96*E386,2)</f>
        <v>2271178.6800000002</v>
      </c>
      <c r="H386" s="53">
        <f t="shared" si="111"/>
        <v>493.95999913003772</v>
      </c>
      <c r="I386" s="53">
        <v>0</v>
      </c>
      <c r="J386" s="53">
        <v>0</v>
      </c>
      <c r="K386" s="53"/>
      <c r="L386" s="53">
        <v>0</v>
      </c>
      <c r="M386" s="53"/>
      <c r="N386" s="53">
        <v>0</v>
      </c>
      <c r="O386" s="53"/>
      <c r="P386" s="53">
        <v>0</v>
      </c>
      <c r="Q386" s="53"/>
      <c r="R386" s="53">
        <v>0</v>
      </c>
      <c r="S386" s="53">
        <v>0</v>
      </c>
      <c r="T386" s="53">
        <v>0</v>
      </c>
      <c r="U386" s="53">
        <v>0</v>
      </c>
      <c r="V386" s="111">
        <f t="shared" si="112"/>
        <v>2271178.6800000002</v>
      </c>
      <c r="W386" s="71">
        <v>2017</v>
      </c>
      <c r="X386" s="71">
        <v>2017</v>
      </c>
      <c r="Y386" s="330" t="s">
        <v>155</v>
      </c>
      <c r="Z386" s="233">
        <v>5</v>
      </c>
    </row>
    <row r="387" spans="1:26" s="24" customFormat="1" ht="17.25" customHeight="1">
      <c r="A387" s="51">
        <f t="shared" si="113"/>
        <v>313</v>
      </c>
      <c r="B387" s="265" t="s">
        <v>454</v>
      </c>
      <c r="C387" s="266" t="s">
        <v>58</v>
      </c>
      <c r="D387" s="269">
        <v>1151.5</v>
      </c>
      <c r="E387" s="269">
        <v>1619</v>
      </c>
      <c r="F387" s="54">
        <f t="shared" si="110"/>
        <v>838706.76</v>
      </c>
      <c r="G387" s="54">
        <f>ROUND(518.04*E387,2)</f>
        <v>838706.76</v>
      </c>
      <c r="H387" s="53">
        <f t="shared" si="111"/>
        <v>518.04</v>
      </c>
      <c r="I387" s="53">
        <v>0</v>
      </c>
      <c r="J387" s="53">
        <v>0</v>
      </c>
      <c r="K387" s="53"/>
      <c r="L387" s="53">
        <v>0</v>
      </c>
      <c r="M387" s="53"/>
      <c r="N387" s="53">
        <v>0</v>
      </c>
      <c r="O387" s="53"/>
      <c r="P387" s="53">
        <v>0</v>
      </c>
      <c r="Q387" s="53"/>
      <c r="R387" s="53">
        <v>0</v>
      </c>
      <c r="S387" s="53">
        <v>0</v>
      </c>
      <c r="T387" s="53">
        <v>0</v>
      </c>
      <c r="U387" s="53">
        <v>0</v>
      </c>
      <c r="V387" s="111">
        <f t="shared" si="112"/>
        <v>838706.76</v>
      </c>
      <c r="W387" s="71">
        <v>2017</v>
      </c>
      <c r="X387" s="71">
        <v>2017</v>
      </c>
      <c r="Y387" s="330" t="s">
        <v>155</v>
      </c>
      <c r="Z387" s="233">
        <v>5</v>
      </c>
    </row>
    <row r="388" spans="1:26" s="24" customFormat="1" ht="17.25" customHeight="1">
      <c r="A388" s="51">
        <f t="shared" si="113"/>
        <v>314</v>
      </c>
      <c r="B388" s="265" t="s">
        <v>455</v>
      </c>
      <c r="C388" s="266" t="s">
        <v>58</v>
      </c>
      <c r="D388" s="269">
        <v>1789.3</v>
      </c>
      <c r="E388" s="269">
        <v>1578.7</v>
      </c>
      <c r="F388" s="54">
        <f t="shared" si="110"/>
        <v>817829.75</v>
      </c>
      <c r="G388" s="54">
        <f t="shared" ref="G388:G389" si="114">ROUND(518.04*E388,2)</f>
        <v>817829.75</v>
      </c>
      <c r="H388" s="53">
        <f t="shared" si="111"/>
        <v>518.04000126686515</v>
      </c>
      <c r="I388" s="53">
        <v>0</v>
      </c>
      <c r="J388" s="53">
        <v>0</v>
      </c>
      <c r="K388" s="53"/>
      <c r="L388" s="53">
        <v>0</v>
      </c>
      <c r="M388" s="53"/>
      <c r="N388" s="53">
        <v>0</v>
      </c>
      <c r="O388" s="53"/>
      <c r="P388" s="53">
        <v>0</v>
      </c>
      <c r="Q388" s="53"/>
      <c r="R388" s="53">
        <v>0</v>
      </c>
      <c r="S388" s="53">
        <v>0</v>
      </c>
      <c r="T388" s="53">
        <v>0</v>
      </c>
      <c r="U388" s="53">
        <v>0</v>
      </c>
      <c r="V388" s="111">
        <f t="shared" si="112"/>
        <v>817829.75</v>
      </c>
      <c r="W388" s="71">
        <v>2017</v>
      </c>
      <c r="X388" s="71">
        <v>2017</v>
      </c>
      <c r="Y388" s="330" t="s">
        <v>155</v>
      </c>
      <c r="Z388" s="233">
        <v>5</v>
      </c>
    </row>
    <row r="389" spans="1:26" s="24" customFormat="1" ht="17.25" customHeight="1">
      <c r="A389" s="51">
        <f t="shared" si="113"/>
        <v>315</v>
      </c>
      <c r="B389" s="265" t="s">
        <v>456</v>
      </c>
      <c r="C389" s="266" t="s">
        <v>65</v>
      </c>
      <c r="D389" s="269">
        <v>2112</v>
      </c>
      <c r="E389" s="269">
        <v>1632.8</v>
      </c>
      <c r="F389" s="54">
        <f t="shared" si="110"/>
        <v>845855.71</v>
      </c>
      <c r="G389" s="54">
        <f t="shared" si="114"/>
        <v>845855.71</v>
      </c>
      <c r="H389" s="53">
        <f t="shared" si="111"/>
        <v>518.03999877511023</v>
      </c>
      <c r="I389" s="53">
        <v>0</v>
      </c>
      <c r="J389" s="53">
        <v>0</v>
      </c>
      <c r="K389" s="53"/>
      <c r="L389" s="53">
        <v>0</v>
      </c>
      <c r="M389" s="53"/>
      <c r="N389" s="53">
        <v>0</v>
      </c>
      <c r="O389" s="53"/>
      <c r="P389" s="53">
        <v>0</v>
      </c>
      <c r="Q389" s="53"/>
      <c r="R389" s="53">
        <v>0</v>
      </c>
      <c r="S389" s="53">
        <v>0</v>
      </c>
      <c r="T389" s="53">
        <v>0</v>
      </c>
      <c r="U389" s="53">
        <v>0</v>
      </c>
      <c r="V389" s="111">
        <f t="shared" si="112"/>
        <v>845855.71</v>
      </c>
      <c r="W389" s="71">
        <v>2017</v>
      </c>
      <c r="X389" s="71">
        <v>2017</v>
      </c>
      <c r="Y389" s="330" t="s">
        <v>155</v>
      </c>
      <c r="Z389" s="233">
        <v>5</v>
      </c>
    </row>
    <row r="390" spans="1:26" s="24" customFormat="1" ht="17.25" customHeight="1">
      <c r="A390" s="51">
        <f t="shared" si="113"/>
        <v>316</v>
      </c>
      <c r="B390" s="265" t="s">
        <v>457</v>
      </c>
      <c r="C390" s="266" t="s">
        <v>96</v>
      </c>
      <c r="D390" s="269">
        <v>3897.1</v>
      </c>
      <c r="E390" s="269">
        <v>3530</v>
      </c>
      <c r="F390" s="54">
        <f t="shared" si="110"/>
        <v>1743678.8</v>
      </c>
      <c r="G390" s="54">
        <f>ROUND(493.96*E390,2)</f>
        <v>1743678.8</v>
      </c>
      <c r="H390" s="53">
        <f t="shared" si="111"/>
        <v>493.96000000000004</v>
      </c>
      <c r="I390" s="53">
        <v>0</v>
      </c>
      <c r="J390" s="53">
        <v>0</v>
      </c>
      <c r="K390" s="53"/>
      <c r="L390" s="53">
        <v>0</v>
      </c>
      <c r="M390" s="53"/>
      <c r="N390" s="53">
        <v>0</v>
      </c>
      <c r="O390" s="53"/>
      <c r="P390" s="53">
        <v>0</v>
      </c>
      <c r="Q390" s="53"/>
      <c r="R390" s="53">
        <v>0</v>
      </c>
      <c r="S390" s="53">
        <v>0</v>
      </c>
      <c r="T390" s="53">
        <v>0</v>
      </c>
      <c r="U390" s="53">
        <v>0</v>
      </c>
      <c r="V390" s="111">
        <f t="shared" si="112"/>
        <v>1743678.8</v>
      </c>
      <c r="W390" s="71">
        <v>2017</v>
      </c>
      <c r="X390" s="71">
        <v>2017</v>
      </c>
      <c r="Y390" s="232" t="s">
        <v>154</v>
      </c>
      <c r="Z390" s="233">
        <v>5</v>
      </c>
    </row>
    <row r="391" spans="1:26" s="24" customFormat="1" ht="17.25" customHeight="1">
      <c r="A391" s="51">
        <f t="shared" si="113"/>
        <v>317</v>
      </c>
      <c r="B391" s="265" t="s">
        <v>458</v>
      </c>
      <c r="C391" s="266" t="s">
        <v>19</v>
      </c>
      <c r="D391" s="269">
        <v>1299.5999999999999</v>
      </c>
      <c r="E391" s="269">
        <v>1161.7</v>
      </c>
      <c r="F391" s="54">
        <f t="shared" si="110"/>
        <v>1026989.27</v>
      </c>
      <c r="G391" s="54">
        <f>ROUND((151+215+518.04)*E391,2)</f>
        <v>1026989.27</v>
      </c>
      <c r="H391" s="53">
        <f t="shared" si="111"/>
        <v>884.04000172161489</v>
      </c>
      <c r="I391" s="53">
        <v>0</v>
      </c>
      <c r="J391" s="53">
        <v>0</v>
      </c>
      <c r="K391" s="53"/>
      <c r="L391" s="53">
        <v>0</v>
      </c>
      <c r="M391" s="53"/>
      <c r="N391" s="53">
        <v>0</v>
      </c>
      <c r="O391" s="53"/>
      <c r="P391" s="53">
        <v>0</v>
      </c>
      <c r="Q391" s="53"/>
      <c r="R391" s="53">
        <v>0</v>
      </c>
      <c r="S391" s="53">
        <v>0</v>
      </c>
      <c r="T391" s="53">
        <v>0</v>
      </c>
      <c r="U391" s="53">
        <v>0</v>
      </c>
      <c r="V391" s="111">
        <f t="shared" si="112"/>
        <v>1026989.27</v>
      </c>
      <c r="W391" s="71">
        <v>2017</v>
      </c>
      <c r="X391" s="71">
        <v>2017</v>
      </c>
      <c r="Y391" s="330" t="s">
        <v>155</v>
      </c>
      <c r="Z391" s="233">
        <v>3</v>
      </c>
    </row>
    <row r="392" spans="1:26" s="24" customFormat="1" ht="17.25" customHeight="1">
      <c r="A392" s="51">
        <f t="shared" si="113"/>
        <v>318</v>
      </c>
      <c r="B392" s="265" t="s">
        <v>459</v>
      </c>
      <c r="C392" s="266" t="s">
        <v>74</v>
      </c>
      <c r="D392" s="269">
        <v>1387</v>
      </c>
      <c r="E392" s="269">
        <v>1284.5999999999999</v>
      </c>
      <c r="F392" s="54">
        <f t="shared" si="110"/>
        <v>634541.02</v>
      </c>
      <c r="G392" s="54">
        <f>ROUND(493.96*E392,2)</f>
        <v>634541.02</v>
      </c>
      <c r="H392" s="53">
        <f t="shared" si="111"/>
        <v>493.96000311380982</v>
      </c>
      <c r="I392" s="53">
        <v>0</v>
      </c>
      <c r="J392" s="53">
        <v>0</v>
      </c>
      <c r="K392" s="53"/>
      <c r="L392" s="53">
        <v>0</v>
      </c>
      <c r="M392" s="53"/>
      <c r="N392" s="53">
        <v>0</v>
      </c>
      <c r="O392" s="53"/>
      <c r="P392" s="53">
        <v>0</v>
      </c>
      <c r="Q392" s="53"/>
      <c r="R392" s="53">
        <v>0</v>
      </c>
      <c r="S392" s="53">
        <v>0</v>
      </c>
      <c r="T392" s="53">
        <v>0</v>
      </c>
      <c r="U392" s="53">
        <v>0</v>
      </c>
      <c r="V392" s="111">
        <f t="shared" si="112"/>
        <v>634541.02</v>
      </c>
      <c r="W392" s="71">
        <v>2017</v>
      </c>
      <c r="X392" s="71">
        <v>2017</v>
      </c>
      <c r="Y392" s="330" t="s">
        <v>155</v>
      </c>
      <c r="Z392" s="233">
        <v>5</v>
      </c>
    </row>
    <row r="393" spans="1:26" s="24" customFormat="1" ht="17.25" customHeight="1">
      <c r="A393" s="51">
        <f t="shared" si="113"/>
        <v>319</v>
      </c>
      <c r="B393" s="265" t="s">
        <v>460</v>
      </c>
      <c r="C393" s="266" t="s">
        <v>96</v>
      </c>
      <c r="D393" s="269">
        <v>2730.3</v>
      </c>
      <c r="E393" s="269">
        <v>2547.6</v>
      </c>
      <c r="F393" s="54">
        <f t="shared" si="110"/>
        <v>932421.6</v>
      </c>
      <c r="G393" s="54">
        <f>ROUND((151+215)*E393,2)</f>
        <v>932421.6</v>
      </c>
      <c r="H393" s="53">
        <f t="shared" si="111"/>
        <v>366</v>
      </c>
      <c r="I393" s="53">
        <v>0</v>
      </c>
      <c r="J393" s="53">
        <v>0</v>
      </c>
      <c r="K393" s="53"/>
      <c r="L393" s="53">
        <v>0</v>
      </c>
      <c r="M393" s="53"/>
      <c r="N393" s="53">
        <v>0</v>
      </c>
      <c r="O393" s="53"/>
      <c r="P393" s="53">
        <v>0</v>
      </c>
      <c r="Q393" s="53"/>
      <c r="R393" s="53">
        <v>0</v>
      </c>
      <c r="S393" s="53">
        <v>0</v>
      </c>
      <c r="T393" s="53">
        <v>0</v>
      </c>
      <c r="U393" s="53">
        <v>0</v>
      </c>
      <c r="V393" s="111">
        <f t="shared" si="112"/>
        <v>932421.6</v>
      </c>
      <c r="W393" s="71">
        <v>2017</v>
      </c>
      <c r="X393" s="71">
        <v>2017</v>
      </c>
      <c r="Y393" s="330" t="s">
        <v>155</v>
      </c>
      <c r="Z393" s="233">
        <v>5</v>
      </c>
    </row>
    <row r="394" spans="1:26" s="24" customFormat="1" ht="17.25" customHeight="1">
      <c r="A394" s="51">
        <f t="shared" si="113"/>
        <v>320</v>
      </c>
      <c r="B394" s="265" t="s">
        <v>461</v>
      </c>
      <c r="C394" s="266" t="s">
        <v>19</v>
      </c>
      <c r="D394" s="269">
        <v>1483.7</v>
      </c>
      <c r="E394" s="269">
        <v>1174.5999999999999</v>
      </c>
      <c r="F394" s="54">
        <f t="shared" si="110"/>
        <v>1038393.38</v>
      </c>
      <c r="G394" s="54">
        <f>ROUND((151+215+518.04)*E394,2)</f>
        <v>1038393.38</v>
      </c>
      <c r="H394" s="53">
        <f>G394/E394</f>
        <v>884.03999659458543</v>
      </c>
      <c r="I394" s="53">
        <v>0</v>
      </c>
      <c r="J394" s="53">
        <v>0</v>
      </c>
      <c r="K394" s="53"/>
      <c r="L394" s="53">
        <v>0</v>
      </c>
      <c r="M394" s="53"/>
      <c r="N394" s="53">
        <v>0</v>
      </c>
      <c r="O394" s="53"/>
      <c r="P394" s="53">
        <v>0</v>
      </c>
      <c r="Q394" s="53"/>
      <c r="R394" s="53">
        <v>0</v>
      </c>
      <c r="S394" s="53">
        <v>0</v>
      </c>
      <c r="T394" s="53">
        <v>0</v>
      </c>
      <c r="U394" s="53">
        <v>0</v>
      </c>
      <c r="V394" s="111">
        <f t="shared" si="112"/>
        <v>1038393.38</v>
      </c>
      <c r="W394" s="71">
        <v>2017</v>
      </c>
      <c r="X394" s="71">
        <v>2017</v>
      </c>
      <c r="Y394" s="330" t="s">
        <v>155</v>
      </c>
      <c r="Z394" s="233">
        <v>3</v>
      </c>
    </row>
    <row r="395" spans="1:26" s="24" customFormat="1" ht="17.25" customHeight="1">
      <c r="A395" s="51">
        <f t="shared" si="113"/>
        <v>321</v>
      </c>
      <c r="B395" s="265" t="s">
        <v>462</v>
      </c>
      <c r="C395" s="266" t="s">
        <v>96</v>
      </c>
      <c r="D395" s="269">
        <v>2764.5</v>
      </c>
      <c r="E395" s="269">
        <v>2579.4</v>
      </c>
      <c r="F395" s="54">
        <f t="shared" si="110"/>
        <v>1336232.3799999999</v>
      </c>
      <c r="G395" s="54">
        <f>ROUND(518.04*E395,2)</f>
        <v>1336232.3799999999</v>
      </c>
      <c r="H395" s="53">
        <f>G395/E395</f>
        <v>518.04000155074823</v>
      </c>
      <c r="I395" s="53">
        <v>0</v>
      </c>
      <c r="J395" s="53">
        <v>0</v>
      </c>
      <c r="K395" s="53"/>
      <c r="L395" s="53">
        <v>0</v>
      </c>
      <c r="M395" s="53"/>
      <c r="N395" s="53">
        <v>0</v>
      </c>
      <c r="O395" s="53"/>
      <c r="P395" s="53">
        <v>0</v>
      </c>
      <c r="Q395" s="53"/>
      <c r="R395" s="53">
        <v>0</v>
      </c>
      <c r="S395" s="53">
        <v>0</v>
      </c>
      <c r="T395" s="53">
        <v>0</v>
      </c>
      <c r="U395" s="53">
        <v>0</v>
      </c>
      <c r="V395" s="111">
        <f t="shared" si="112"/>
        <v>1336232.3799999999</v>
      </c>
      <c r="W395" s="71">
        <v>2017</v>
      </c>
      <c r="X395" s="71">
        <v>2017</v>
      </c>
      <c r="Y395" s="330" t="s">
        <v>155</v>
      </c>
      <c r="Z395" s="233">
        <v>5</v>
      </c>
    </row>
    <row r="396" spans="1:26" s="24" customFormat="1" ht="17.25" customHeight="1">
      <c r="A396" s="51">
        <f t="shared" si="113"/>
        <v>322</v>
      </c>
      <c r="B396" s="265" t="s">
        <v>463</v>
      </c>
      <c r="C396" s="266" t="s">
        <v>66</v>
      </c>
      <c r="D396" s="269">
        <v>4135.8999999999996</v>
      </c>
      <c r="E396" s="269">
        <v>3401.2</v>
      </c>
      <c r="F396" s="54">
        <f t="shared" si="110"/>
        <v>1244839.2</v>
      </c>
      <c r="G396" s="54">
        <f>ROUND((151+215)*E396,2)</f>
        <v>1244839.2</v>
      </c>
      <c r="H396" s="53">
        <f>G396/E396</f>
        <v>366</v>
      </c>
      <c r="I396" s="53">
        <v>0</v>
      </c>
      <c r="J396" s="53">
        <v>0</v>
      </c>
      <c r="K396" s="53"/>
      <c r="L396" s="53">
        <v>0</v>
      </c>
      <c r="M396" s="53"/>
      <c r="N396" s="53">
        <v>0</v>
      </c>
      <c r="O396" s="53"/>
      <c r="P396" s="53">
        <v>0</v>
      </c>
      <c r="Q396" s="53"/>
      <c r="R396" s="53">
        <v>0</v>
      </c>
      <c r="S396" s="53">
        <v>0</v>
      </c>
      <c r="T396" s="53">
        <v>0</v>
      </c>
      <c r="U396" s="53">
        <v>0</v>
      </c>
      <c r="V396" s="111">
        <f t="shared" si="112"/>
        <v>1244839.2</v>
      </c>
      <c r="W396" s="71">
        <v>2017</v>
      </c>
      <c r="X396" s="71">
        <v>2017</v>
      </c>
      <c r="Y396" s="330" t="s">
        <v>155</v>
      </c>
      <c r="Z396" s="233">
        <v>5</v>
      </c>
    </row>
    <row r="397" spans="1:26" s="24" customFormat="1" ht="17.25" customHeight="1">
      <c r="A397" s="51">
        <f t="shared" si="113"/>
        <v>323</v>
      </c>
      <c r="B397" s="265" t="s">
        <v>464</v>
      </c>
      <c r="C397" s="266" t="s">
        <v>96</v>
      </c>
      <c r="D397" s="269">
        <v>1836.7</v>
      </c>
      <c r="E397" s="269">
        <v>1613.6</v>
      </c>
      <c r="F397" s="54">
        <f t="shared" si="110"/>
        <v>590577.6</v>
      </c>
      <c r="G397" s="54">
        <f>ROUND((151+215)*E397,2)</f>
        <v>590577.6</v>
      </c>
      <c r="H397" s="53">
        <f>G397/E397</f>
        <v>366</v>
      </c>
      <c r="I397" s="53">
        <v>0</v>
      </c>
      <c r="J397" s="53">
        <v>0</v>
      </c>
      <c r="K397" s="53"/>
      <c r="L397" s="53">
        <v>0</v>
      </c>
      <c r="M397" s="53"/>
      <c r="N397" s="53">
        <v>0</v>
      </c>
      <c r="O397" s="53"/>
      <c r="P397" s="53">
        <v>0</v>
      </c>
      <c r="Q397" s="53"/>
      <c r="R397" s="53">
        <v>0</v>
      </c>
      <c r="S397" s="53">
        <v>0</v>
      </c>
      <c r="T397" s="53">
        <v>0</v>
      </c>
      <c r="U397" s="53">
        <v>0</v>
      </c>
      <c r="V397" s="111">
        <f t="shared" si="112"/>
        <v>590577.6</v>
      </c>
      <c r="W397" s="71">
        <v>2017</v>
      </c>
      <c r="X397" s="71">
        <v>2017</v>
      </c>
      <c r="Y397" s="330" t="s">
        <v>155</v>
      </c>
      <c r="Z397" s="233">
        <v>5</v>
      </c>
    </row>
    <row r="398" spans="1:26" s="24" customFormat="1" ht="17.25" customHeight="1">
      <c r="A398" s="51">
        <f t="shared" si="113"/>
        <v>324</v>
      </c>
      <c r="B398" s="265" t="s">
        <v>488</v>
      </c>
      <c r="C398" s="267">
        <v>1984</v>
      </c>
      <c r="D398" s="269">
        <v>15402.7</v>
      </c>
      <c r="E398" s="269">
        <v>12548.8</v>
      </c>
      <c r="F398" s="54">
        <f t="shared" si="110"/>
        <v>4021580.94</v>
      </c>
      <c r="G398" s="36">
        <v>0</v>
      </c>
      <c r="H398" s="53">
        <f>G398/E398</f>
        <v>0</v>
      </c>
      <c r="I398" s="332">
        <f>1*4021580.94</f>
        <v>4021580.94</v>
      </c>
      <c r="J398" s="53">
        <v>0</v>
      </c>
      <c r="K398" s="53"/>
      <c r="L398" s="53">
        <v>0</v>
      </c>
      <c r="M398" s="53"/>
      <c r="N398" s="53">
        <v>0</v>
      </c>
      <c r="O398" s="53"/>
      <c r="P398" s="53">
        <v>0</v>
      </c>
      <c r="Q398" s="53"/>
      <c r="R398" s="53">
        <v>0</v>
      </c>
      <c r="S398" s="53">
        <v>0</v>
      </c>
      <c r="T398" s="53">
        <v>0</v>
      </c>
      <c r="U398" s="53">
        <v>0</v>
      </c>
      <c r="V398" s="111">
        <f t="shared" si="112"/>
        <v>4021580.94</v>
      </c>
      <c r="W398" s="71">
        <v>2017</v>
      </c>
      <c r="X398" s="71">
        <v>2017</v>
      </c>
      <c r="Y398" s="232" t="s">
        <v>154</v>
      </c>
      <c r="Z398" s="233">
        <v>9</v>
      </c>
    </row>
    <row r="399" spans="1:26" ht="17.25" customHeight="1">
      <c r="A399" s="352" t="s">
        <v>280</v>
      </c>
      <c r="B399" s="353"/>
      <c r="C399" s="251"/>
      <c r="D399" s="113">
        <f t="shared" ref="D399:V399" si="115">SUM(D381:D398)</f>
        <v>58225.999999999985</v>
      </c>
      <c r="E399" s="113">
        <f t="shared" si="115"/>
        <v>49618.299999999988</v>
      </c>
      <c r="F399" s="56">
        <f t="shared" si="115"/>
        <v>23460811.580000002</v>
      </c>
      <c r="G399" s="50">
        <f t="shared" si="115"/>
        <v>19439230.640000001</v>
      </c>
      <c r="H399" s="50"/>
      <c r="I399" s="50">
        <f t="shared" si="115"/>
        <v>4021580.94</v>
      </c>
      <c r="J399" s="50">
        <f t="shared" si="115"/>
        <v>0</v>
      </c>
      <c r="K399" s="50">
        <f t="shared" si="115"/>
        <v>0</v>
      </c>
      <c r="L399" s="50">
        <f t="shared" si="115"/>
        <v>0</v>
      </c>
      <c r="M399" s="50">
        <f t="shared" si="115"/>
        <v>0</v>
      </c>
      <c r="N399" s="50">
        <f t="shared" si="115"/>
        <v>0</v>
      </c>
      <c r="O399" s="50">
        <f t="shared" si="115"/>
        <v>0</v>
      </c>
      <c r="P399" s="50">
        <f t="shared" si="115"/>
        <v>0</v>
      </c>
      <c r="Q399" s="50">
        <f t="shared" si="115"/>
        <v>0</v>
      </c>
      <c r="R399" s="50">
        <f t="shared" si="115"/>
        <v>0</v>
      </c>
      <c r="S399" s="50">
        <f t="shared" si="115"/>
        <v>0</v>
      </c>
      <c r="T399" s="50">
        <f t="shared" si="115"/>
        <v>0</v>
      </c>
      <c r="U399" s="50">
        <f t="shared" si="115"/>
        <v>0</v>
      </c>
      <c r="V399" s="113">
        <f t="shared" si="115"/>
        <v>23460811.580000002</v>
      </c>
      <c r="W399" s="22" t="s">
        <v>117</v>
      </c>
      <c r="X399" s="22" t="s">
        <v>117</v>
      </c>
    </row>
    <row r="400" spans="1:26" ht="17.25" customHeight="1">
      <c r="A400" s="354" t="s">
        <v>93</v>
      </c>
      <c r="B400" s="355"/>
      <c r="C400" s="355"/>
      <c r="D400" s="355"/>
      <c r="E400" s="355"/>
      <c r="F400" s="355"/>
      <c r="G400" s="355"/>
      <c r="H400" s="355"/>
      <c r="I400" s="355"/>
      <c r="J400" s="355"/>
      <c r="K400" s="355"/>
      <c r="L400" s="355"/>
      <c r="M400" s="355"/>
      <c r="N400" s="355"/>
      <c r="O400" s="355"/>
      <c r="P400" s="355"/>
      <c r="Q400" s="355"/>
      <c r="R400" s="355"/>
      <c r="S400" s="355"/>
      <c r="T400" s="355"/>
      <c r="U400" s="355"/>
      <c r="V400" s="360"/>
      <c r="W400" s="23"/>
      <c r="X400" s="23"/>
    </row>
    <row r="401" spans="1:26" s="24" customFormat="1" ht="17.25" customHeight="1">
      <c r="A401" s="51">
        <f>A398+1</f>
        <v>325</v>
      </c>
      <c r="B401" s="73" t="s">
        <v>391</v>
      </c>
      <c r="C401" s="51">
        <v>1951</v>
      </c>
      <c r="D401" s="74">
        <v>1551.8</v>
      </c>
      <c r="E401" s="74">
        <v>1410.1</v>
      </c>
      <c r="F401" s="54">
        <f>G401+I401+J401+L401+N401+P401+R401</f>
        <v>730488.2</v>
      </c>
      <c r="G401" s="48">
        <f>ROUND(518.04*E401,2)</f>
        <v>730488.2</v>
      </c>
      <c r="H401" s="53">
        <f t="shared" ref="H401:H418" si="116">G401/E401</f>
        <v>518.0399971633218</v>
      </c>
      <c r="I401" s="53">
        <v>0</v>
      </c>
      <c r="J401" s="53">
        <v>0</v>
      </c>
      <c r="K401" s="53"/>
      <c r="L401" s="53">
        <v>0</v>
      </c>
      <c r="M401" s="53"/>
      <c r="N401" s="53">
        <v>0</v>
      </c>
      <c r="O401" s="53"/>
      <c r="P401" s="53">
        <v>0</v>
      </c>
      <c r="Q401" s="53"/>
      <c r="R401" s="53">
        <v>0</v>
      </c>
      <c r="S401" s="53">
        <v>0</v>
      </c>
      <c r="T401" s="53">
        <v>0</v>
      </c>
      <c r="U401" s="53">
        <v>0</v>
      </c>
      <c r="V401" s="111">
        <f>F401</f>
        <v>730488.2</v>
      </c>
      <c r="W401" s="71">
        <v>2017</v>
      </c>
      <c r="X401" s="71">
        <v>2017</v>
      </c>
      <c r="Y401" s="172" t="s">
        <v>155</v>
      </c>
      <c r="Z401" s="51">
        <v>3</v>
      </c>
    </row>
    <row r="402" spans="1:26" s="24" customFormat="1" ht="17.25" customHeight="1">
      <c r="A402" s="51">
        <f>A401+1</f>
        <v>326</v>
      </c>
      <c r="B402" s="52" t="s">
        <v>404</v>
      </c>
      <c r="C402" s="51">
        <v>1958</v>
      </c>
      <c r="D402" s="74">
        <v>419</v>
      </c>
      <c r="E402" s="74">
        <v>379.7</v>
      </c>
      <c r="F402" s="54">
        <f t="shared" ref="F402:F414" si="117">G402+I402+J402+L402+N402+P402+R402</f>
        <v>196699.79</v>
      </c>
      <c r="G402" s="48">
        <f>ROUND(518.04*E402,2)</f>
        <v>196699.79</v>
      </c>
      <c r="H402" s="53">
        <f t="shared" si="116"/>
        <v>518.04000526731636</v>
      </c>
      <c r="I402" s="53"/>
      <c r="J402" s="53">
        <v>0</v>
      </c>
      <c r="K402" s="53"/>
      <c r="L402" s="53"/>
      <c r="M402" s="53"/>
      <c r="N402" s="53">
        <v>0</v>
      </c>
      <c r="O402" s="53"/>
      <c r="P402" s="53">
        <v>0</v>
      </c>
      <c r="Q402" s="53"/>
      <c r="R402" s="53">
        <v>0</v>
      </c>
      <c r="S402" s="53">
        <v>0</v>
      </c>
      <c r="T402" s="53">
        <v>0</v>
      </c>
      <c r="U402" s="53">
        <v>0</v>
      </c>
      <c r="V402" s="111">
        <f t="shared" ref="V402:V412" si="118">F402</f>
        <v>196699.79</v>
      </c>
      <c r="W402" s="71">
        <v>2017</v>
      </c>
      <c r="X402" s="71">
        <v>2017</v>
      </c>
      <c r="Y402" s="172" t="s">
        <v>155</v>
      </c>
      <c r="Z402" s="51">
        <v>2</v>
      </c>
    </row>
    <row r="403" spans="1:26" s="24" customFormat="1" ht="17.25" customHeight="1">
      <c r="A403" s="51">
        <f t="shared" ref="A403:A418" si="119">A402+1</f>
        <v>327</v>
      </c>
      <c r="B403" s="73" t="s">
        <v>405</v>
      </c>
      <c r="C403" s="51">
        <v>1958</v>
      </c>
      <c r="D403" s="74">
        <v>417.3</v>
      </c>
      <c r="E403" s="74">
        <v>376.5</v>
      </c>
      <c r="F403" s="54">
        <f t="shared" si="117"/>
        <v>195042.06</v>
      </c>
      <c r="G403" s="48">
        <f>ROUND(518.04*E403,2)</f>
        <v>195042.06</v>
      </c>
      <c r="H403" s="53">
        <f t="shared" si="116"/>
        <v>518.04</v>
      </c>
      <c r="I403" s="53"/>
      <c r="J403" s="53">
        <v>0</v>
      </c>
      <c r="K403" s="53"/>
      <c r="L403" s="53"/>
      <c r="M403" s="53"/>
      <c r="N403" s="53">
        <v>0</v>
      </c>
      <c r="O403" s="53"/>
      <c r="P403" s="53">
        <v>0</v>
      </c>
      <c r="Q403" s="53"/>
      <c r="R403" s="53">
        <v>0</v>
      </c>
      <c r="S403" s="53">
        <v>0</v>
      </c>
      <c r="T403" s="53">
        <v>0</v>
      </c>
      <c r="U403" s="53">
        <v>0</v>
      </c>
      <c r="V403" s="111">
        <f t="shared" si="118"/>
        <v>195042.06</v>
      </c>
      <c r="W403" s="71">
        <v>2017</v>
      </c>
      <c r="X403" s="71">
        <v>2017</v>
      </c>
      <c r="Y403" s="172" t="s">
        <v>155</v>
      </c>
      <c r="Z403" s="51">
        <v>2</v>
      </c>
    </row>
    <row r="404" spans="1:26" s="24" customFormat="1" ht="17.25" customHeight="1">
      <c r="A404" s="51">
        <f t="shared" si="119"/>
        <v>328</v>
      </c>
      <c r="B404" s="52" t="s">
        <v>392</v>
      </c>
      <c r="C404" s="51">
        <v>1955</v>
      </c>
      <c r="D404" s="74">
        <v>432.9</v>
      </c>
      <c r="E404" s="74">
        <v>388.4</v>
      </c>
      <c r="F404" s="54">
        <f t="shared" si="117"/>
        <v>343361.14</v>
      </c>
      <c r="G404" s="48">
        <f>ROUND((518.04+151+215)*E404,2)</f>
        <v>343361.14</v>
      </c>
      <c r="H404" s="53">
        <f t="shared" si="116"/>
        <v>884.04001029866129</v>
      </c>
      <c r="I404" s="53"/>
      <c r="J404" s="53">
        <v>0</v>
      </c>
      <c r="K404" s="53"/>
      <c r="L404" s="53"/>
      <c r="M404" s="53"/>
      <c r="N404" s="53">
        <v>0</v>
      </c>
      <c r="O404" s="53"/>
      <c r="P404" s="53">
        <v>0</v>
      </c>
      <c r="Q404" s="53"/>
      <c r="R404" s="53">
        <v>0</v>
      </c>
      <c r="S404" s="53">
        <v>0</v>
      </c>
      <c r="T404" s="53">
        <v>0</v>
      </c>
      <c r="U404" s="53">
        <v>0</v>
      </c>
      <c r="V404" s="111">
        <f t="shared" si="118"/>
        <v>343361.14</v>
      </c>
      <c r="W404" s="71">
        <v>2017</v>
      </c>
      <c r="X404" s="71">
        <v>2017</v>
      </c>
      <c r="Y404" s="172" t="s">
        <v>155</v>
      </c>
      <c r="Z404" s="51">
        <v>2</v>
      </c>
    </row>
    <row r="405" spans="1:26" s="24" customFormat="1" ht="17.25" customHeight="1">
      <c r="A405" s="51">
        <f t="shared" si="119"/>
        <v>329</v>
      </c>
      <c r="B405" s="52" t="s">
        <v>393</v>
      </c>
      <c r="C405" s="51">
        <v>1960</v>
      </c>
      <c r="D405" s="74">
        <v>2751.6</v>
      </c>
      <c r="E405" s="74">
        <v>2049.6</v>
      </c>
      <c r="F405" s="54">
        <f t="shared" si="117"/>
        <v>510022.46</v>
      </c>
      <c r="G405" s="54">
        <v>0</v>
      </c>
      <c r="H405" s="53">
        <f t="shared" si="116"/>
        <v>0</v>
      </c>
      <c r="I405" s="53"/>
      <c r="J405" s="53">
        <v>0</v>
      </c>
      <c r="K405" s="53"/>
      <c r="L405" s="53"/>
      <c r="M405" s="53"/>
      <c r="N405" s="53">
        <v>0</v>
      </c>
      <c r="O405" s="53"/>
      <c r="P405" s="236">
        <f>ROUND(248.84*E405,2)</f>
        <v>510022.46</v>
      </c>
      <c r="Q405" s="53">
        <f>P405/E405</f>
        <v>248.83999804839971</v>
      </c>
      <c r="R405" s="53">
        <v>0</v>
      </c>
      <c r="S405" s="53">
        <v>0</v>
      </c>
      <c r="T405" s="53">
        <v>0</v>
      </c>
      <c r="U405" s="53">
        <v>0</v>
      </c>
      <c r="V405" s="111">
        <f t="shared" si="118"/>
        <v>510022.46</v>
      </c>
      <c r="W405" s="71">
        <v>2017</v>
      </c>
      <c r="X405" s="71">
        <v>2017</v>
      </c>
      <c r="Y405" s="172" t="s">
        <v>155</v>
      </c>
      <c r="Z405" s="51">
        <v>4</v>
      </c>
    </row>
    <row r="406" spans="1:26" s="24" customFormat="1" ht="17.25" customHeight="1">
      <c r="A406" s="51">
        <f t="shared" si="119"/>
        <v>330</v>
      </c>
      <c r="B406" s="73" t="s">
        <v>394</v>
      </c>
      <c r="C406" s="51">
        <v>1958</v>
      </c>
      <c r="D406" s="74">
        <v>2920.1</v>
      </c>
      <c r="E406" s="74">
        <v>2681.5</v>
      </c>
      <c r="F406" s="54">
        <f t="shared" si="117"/>
        <v>2452339.0099999998</v>
      </c>
      <c r="G406" s="54">
        <v>0</v>
      </c>
      <c r="H406" s="53">
        <f t="shared" si="116"/>
        <v>0</v>
      </c>
      <c r="I406" s="53"/>
      <c r="J406" s="76">
        <f>ROUND(914.54*E406,2)</f>
        <v>2452339.0099999998</v>
      </c>
      <c r="K406" s="53">
        <f>J406/E406</f>
        <v>914.54</v>
      </c>
      <c r="L406" s="53"/>
      <c r="M406" s="53"/>
      <c r="N406" s="53">
        <v>0</v>
      </c>
      <c r="O406" s="53"/>
      <c r="P406" s="53">
        <v>0</v>
      </c>
      <c r="Q406" s="53"/>
      <c r="R406" s="53">
        <v>0</v>
      </c>
      <c r="S406" s="53">
        <v>0</v>
      </c>
      <c r="T406" s="53">
        <v>0</v>
      </c>
      <c r="U406" s="53">
        <v>0</v>
      </c>
      <c r="V406" s="111">
        <f t="shared" si="118"/>
        <v>2452339.0099999998</v>
      </c>
      <c r="W406" s="71">
        <v>2017</v>
      </c>
      <c r="X406" s="71">
        <v>2017</v>
      </c>
      <c r="Y406" s="172" t="s">
        <v>155</v>
      </c>
      <c r="Z406" s="51">
        <v>4</v>
      </c>
    </row>
    <row r="407" spans="1:26" s="24" customFormat="1" ht="17.25" customHeight="1">
      <c r="A407" s="51">
        <f t="shared" si="119"/>
        <v>331</v>
      </c>
      <c r="B407" s="73" t="s">
        <v>395</v>
      </c>
      <c r="C407" s="51">
        <v>1951</v>
      </c>
      <c r="D407" s="74">
        <v>1722</v>
      </c>
      <c r="E407" s="74">
        <v>1235.9000000000001</v>
      </c>
      <c r="F407" s="54">
        <f t="shared" si="117"/>
        <v>1090187.3899999999</v>
      </c>
      <c r="G407" s="54">
        <v>0</v>
      </c>
      <c r="H407" s="53">
        <f t="shared" si="116"/>
        <v>0</v>
      </c>
      <c r="I407" s="53"/>
      <c r="J407" s="53">
        <v>0</v>
      </c>
      <c r="K407" s="53"/>
      <c r="L407" s="53"/>
      <c r="M407" s="53"/>
      <c r="N407" s="76">
        <f>ROUND(882.1*E407,2)</f>
        <v>1090187.3899999999</v>
      </c>
      <c r="O407" s="53">
        <f>N407/E407</f>
        <v>882.09999999999991</v>
      </c>
      <c r="P407" s="53">
        <v>0</v>
      </c>
      <c r="Q407" s="53"/>
      <c r="R407" s="53">
        <v>0</v>
      </c>
      <c r="S407" s="53">
        <v>0</v>
      </c>
      <c r="T407" s="53">
        <v>0</v>
      </c>
      <c r="U407" s="53">
        <v>0</v>
      </c>
      <c r="V407" s="111">
        <f t="shared" si="118"/>
        <v>1090187.3899999999</v>
      </c>
      <c r="W407" s="71">
        <v>2017</v>
      </c>
      <c r="X407" s="71">
        <v>2017</v>
      </c>
      <c r="Y407" s="172" t="s">
        <v>155</v>
      </c>
      <c r="Z407" s="51">
        <v>3</v>
      </c>
    </row>
    <row r="408" spans="1:26" s="24" customFormat="1" ht="17.25" customHeight="1">
      <c r="A408" s="51">
        <f t="shared" si="119"/>
        <v>332</v>
      </c>
      <c r="B408" s="73" t="s">
        <v>396</v>
      </c>
      <c r="C408" s="51">
        <v>1952</v>
      </c>
      <c r="D408" s="74">
        <v>1633.4</v>
      </c>
      <c r="E408" s="74">
        <v>1398.2</v>
      </c>
      <c r="F408" s="54">
        <f t="shared" si="117"/>
        <v>347928.09</v>
      </c>
      <c r="G408" s="54">
        <v>0</v>
      </c>
      <c r="H408" s="53">
        <f t="shared" si="116"/>
        <v>0</v>
      </c>
      <c r="I408" s="53"/>
      <c r="J408" s="53">
        <v>0</v>
      </c>
      <c r="K408" s="53"/>
      <c r="L408" s="53"/>
      <c r="M408" s="53"/>
      <c r="N408" s="53">
        <v>0</v>
      </c>
      <c r="O408" s="53"/>
      <c r="P408" s="236">
        <f>ROUND(248.84*E408,2)</f>
        <v>347928.09</v>
      </c>
      <c r="Q408" s="53">
        <f>P408/E408</f>
        <v>248.84000143041052</v>
      </c>
      <c r="R408" s="53">
        <v>0</v>
      </c>
      <c r="S408" s="53">
        <v>0</v>
      </c>
      <c r="T408" s="53">
        <v>0</v>
      </c>
      <c r="U408" s="53">
        <v>0</v>
      </c>
      <c r="V408" s="111">
        <f t="shared" si="118"/>
        <v>347928.09</v>
      </c>
      <c r="W408" s="71">
        <v>2017</v>
      </c>
      <c r="X408" s="71">
        <v>2017</v>
      </c>
      <c r="Y408" s="172" t="s">
        <v>155</v>
      </c>
      <c r="Z408" s="51">
        <v>3</v>
      </c>
    </row>
    <row r="409" spans="1:26" s="24" customFormat="1" ht="17.25" customHeight="1">
      <c r="A409" s="51">
        <f t="shared" si="119"/>
        <v>333</v>
      </c>
      <c r="B409" s="73" t="s">
        <v>397</v>
      </c>
      <c r="C409" s="51">
        <v>1964</v>
      </c>
      <c r="D409" s="74">
        <v>5061.6000000000004</v>
      </c>
      <c r="E409" s="74">
        <v>3270.7</v>
      </c>
      <c r="F409" s="54">
        <f t="shared" si="117"/>
        <v>1051366.52</v>
      </c>
      <c r="G409" s="48">
        <f>ROUND(321.45*E409,2)</f>
        <v>1051366.52</v>
      </c>
      <c r="H409" s="53">
        <f t="shared" si="116"/>
        <v>321.45000152872478</v>
      </c>
      <c r="I409" s="53"/>
      <c r="J409" s="53">
        <v>0</v>
      </c>
      <c r="K409" s="53"/>
      <c r="L409" s="53"/>
      <c r="M409" s="53"/>
      <c r="N409" s="53">
        <v>0</v>
      </c>
      <c r="O409" s="53"/>
      <c r="P409" s="53">
        <v>0</v>
      </c>
      <c r="Q409" s="53"/>
      <c r="R409" s="53">
        <v>0</v>
      </c>
      <c r="S409" s="53">
        <v>0</v>
      </c>
      <c r="T409" s="53">
        <v>0</v>
      </c>
      <c r="U409" s="53">
        <v>0</v>
      </c>
      <c r="V409" s="111">
        <f t="shared" si="118"/>
        <v>1051366.52</v>
      </c>
      <c r="W409" s="71">
        <v>2017</v>
      </c>
      <c r="X409" s="71">
        <v>2017</v>
      </c>
      <c r="Y409" s="172" t="s">
        <v>155</v>
      </c>
      <c r="Z409" s="51">
        <v>5</v>
      </c>
    </row>
    <row r="410" spans="1:26" s="24" customFormat="1" ht="17.25" customHeight="1">
      <c r="A410" s="51">
        <f t="shared" si="119"/>
        <v>334</v>
      </c>
      <c r="B410" s="73" t="s">
        <v>398</v>
      </c>
      <c r="C410" s="51">
        <v>1958</v>
      </c>
      <c r="D410" s="74">
        <v>2418.1</v>
      </c>
      <c r="E410" s="74">
        <v>1242</v>
      </c>
      <c r="F410" s="54">
        <f t="shared" si="117"/>
        <v>643405.68000000005</v>
      </c>
      <c r="G410" s="48">
        <f>ROUND(518.04*E410,2)</f>
        <v>643405.68000000005</v>
      </c>
      <c r="H410" s="53">
        <f t="shared" si="116"/>
        <v>518.04000000000008</v>
      </c>
      <c r="I410" s="53"/>
      <c r="J410" s="53">
        <v>0</v>
      </c>
      <c r="K410" s="53"/>
      <c r="L410" s="53"/>
      <c r="M410" s="53"/>
      <c r="N410" s="53">
        <v>0</v>
      </c>
      <c r="O410" s="53"/>
      <c r="P410" s="53">
        <v>0</v>
      </c>
      <c r="Q410" s="53"/>
      <c r="R410" s="53">
        <v>0</v>
      </c>
      <c r="S410" s="53">
        <v>0</v>
      </c>
      <c r="T410" s="53">
        <v>0</v>
      </c>
      <c r="U410" s="53">
        <v>0</v>
      </c>
      <c r="V410" s="111">
        <f t="shared" si="118"/>
        <v>643405.68000000005</v>
      </c>
      <c r="W410" s="71">
        <v>2017</v>
      </c>
      <c r="X410" s="71">
        <v>2017</v>
      </c>
      <c r="Y410" s="172" t="s">
        <v>155</v>
      </c>
      <c r="Z410" s="51">
        <v>3</v>
      </c>
    </row>
    <row r="411" spans="1:26" s="24" customFormat="1" ht="17.25" customHeight="1">
      <c r="A411" s="51">
        <f t="shared" si="119"/>
        <v>335</v>
      </c>
      <c r="B411" s="73" t="s">
        <v>399</v>
      </c>
      <c r="C411" s="51">
        <v>1949</v>
      </c>
      <c r="D411" s="74">
        <v>1555.6</v>
      </c>
      <c r="E411" s="74">
        <v>1376.6</v>
      </c>
      <c r="F411" s="54">
        <f t="shared" si="117"/>
        <v>713133.86</v>
      </c>
      <c r="G411" s="48">
        <f>ROUND(518.04*E411,2)</f>
        <v>713133.86</v>
      </c>
      <c r="H411" s="53">
        <f t="shared" si="116"/>
        <v>518.03999709429036</v>
      </c>
      <c r="I411" s="53"/>
      <c r="J411" s="53">
        <v>0</v>
      </c>
      <c r="K411" s="53"/>
      <c r="L411" s="53"/>
      <c r="M411" s="53"/>
      <c r="N411" s="53">
        <v>0</v>
      </c>
      <c r="O411" s="53"/>
      <c r="P411" s="53">
        <v>0</v>
      </c>
      <c r="Q411" s="53"/>
      <c r="R411" s="53">
        <v>0</v>
      </c>
      <c r="S411" s="53">
        <v>0</v>
      </c>
      <c r="T411" s="53">
        <v>0</v>
      </c>
      <c r="U411" s="53">
        <v>0</v>
      </c>
      <c r="V411" s="111">
        <f t="shared" si="118"/>
        <v>713133.86</v>
      </c>
      <c r="W411" s="71">
        <v>2017</v>
      </c>
      <c r="X411" s="71">
        <v>2017</v>
      </c>
      <c r="Y411" s="172" t="s">
        <v>155</v>
      </c>
      <c r="Z411" s="51">
        <v>3</v>
      </c>
    </row>
    <row r="412" spans="1:26" s="24" customFormat="1" ht="17.25" customHeight="1">
      <c r="A412" s="51">
        <f t="shared" si="119"/>
        <v>336</v>
      </c>
      <c r="B412" s="73" t="s">
        <v>99</v>
      </c>
      <c r="C412" s="51">
        <v>1966</v>
      </c>
      <c r="D412" s="74">
        <v>4141.7</v>
      </c>
      <c r="E412" s="74">
        <v>3190.1</v>
      </c>
      <c r="F412" s="54">
        <f t="shared" si="117"/>
        <v>2813987.21</v>
      </c>
      <c r="G412" s="54">
        <v>0</v>
      </c>
      <c r="H412" s="53">
        <f t="shared" si="116"/>
        <v>0</v>
      </c>
      <c r="I412" s="53"/>
      <c r="J412" s="53">
        <v>0</v>
      </c>
      <c r="K412" s="53"/>
      <c r="L412" s="53"/>
      <c r="M412" s="53"/>
      <c r="N412" s="76">
        <f>ROUND(882.1*E412,2)</f>
        <v>2813987.21</v>
      </c>
      <c r="O412" s="53">
        <f>N412/E412</f>
        <v>882.1</v>
      </c>
      <c r="P412" s="53">
        <v>0</v>
      </c>
      <c r="Q412" s="53"/>
      <c r="R412" s="53">
        <v>0</v>
      </c>
      <c r="S412" s="53">
        <v>0</v>
      </c>
      <c r="T412" s="53">
        <v>0</v>
      </c>
      <c r="U412" s="53">
        <v>0</v>
      </c>
      <c r="V412" s="111">
        <f t="shared" si="118"/>
        <v>2813987.21</v>
      </c>
      <c r="W412" s="71">
        <v>2017</v>
      </c>
      <c r="X412" s="71">
        <v>2017</v>
      </c>
      <c r="Y412" s="172" t="s">
        <v>155</v>
      </c>
      <c r="Z412" s="51">
        <v>5</v>
      </c>
    </row>
    <row r="413" spans="1:26" s="24" customFormat="1" ht="17.25" customHeight="1">
      <c r="A413" s="51">
        <f t="shared" si="119"/>
        <v>337</v>
      </c>
      <c r="B413" s="73" t="s">
        <v>400</v>
      </c>
      <c r="C413" s="51">
        <v>1965</v>
      </c>
      <c r="D413" s="74">
        <v>4081.6</v>
      </c>
      <c r="E413" s="74">
        <v>2519.9</v>
      </c>
      <c r="F413" s="54">
        <f t="shared" si="117"/>
        <v>810021.86</v>
      </c>
      <c r="G413" s="48">
        <f>ROUND(321.45*E413,2)</f>
        <v>810021.86</v>
      </c>
      <c r="H413" s="53">
        <f t="shared" si="116"/>
        <v>321.4500019842057</v>
      </c>
      <c r="I413" s="53">
        <v>0</v>
      </c>
      <c r="J413" s="53">
        <v>0</v>
      </c>
      <c r="K413" s="53"/>
      <c r="L413" s="53">
        <v>0</v>
      </c>
      <c r="M413" s="53"/>
      <c r="N413" s="53">
        <v>0</v>
      </c>
      <c r="O413" s="53">
        <f>N413/E413</f>
        <v>0</v>
      </c>
      <c r="P413" s="53">
        <v>0</v>
      </c>
      <c r="Q413" s="53"/>
      <c r="R413" s="53">
        <v>0</v>
      </c>
      <c r="S413" s="53">
        <v>0</v>
      </c>
      <c r="T413" s="53">
        <v>0</v>
      </c>
      <c r="U413" s="53">
        <v>0</v>
      </c>
      <c r="V413" s="111">
        <f t="shared" ref="V413:V418" si="120">F413</f>
        <v>810021.86</v>
      </c>
      <c r="W413" s="71">
        <v>2017</v>
      </c>
      <c r="X413" s="71">
        <v>2017</v>
      </c>
      <c r="Y413" s="172" t="s">
        <v>155</v>
      </c>
      <c r="Z413" s="51">
        <v>5</v>
      </c>
    </row>
    <row r="414" spans="1:26" s="24" customFormat="1" ht="17.25" customHeight="1">
      <c r="A414" s="51">
        <f t="shared" si="119"/>
        <v>338</v>
      </c>
      <c r="B414" s="73" t="s">
        <v>401</v>
      </c>
      <c r="C414" s="51">
        <v>1954</v>
      </c>
      <c r="D414" s="74">
        <v>3738.9</v>
      </c>
      <c r="E414" s="74">
        <v>2757.6</v>
      </c>
      <c r="F414" s="54">
        <f t="shared" si="117"/>
        <v>2432478.96</v>
      </c>
      <c r="G414" s="54">
        <v>0</v>
      </c>
      <c r="H414" s="53">
        <f t="shared" si="116"/>
        <v>0</v>
      </c>
      <c r="I414" s="53">
        <v>0</v>
      </c>
      <c r="J414" s="53">
        <v>0</v>
      </c>
      <c r="K414" s="53"/>
      <c r="L414" s="53">
        <v>0</v>
      </c>
      <c r="M414" s="53"/>
      <c r="N414" s="76">
        <f>ROUND(882.1*E414,2)</f>
        <v>2432478.96</v>
      </c>
      <c r="O414" s="53">
        <f>N414/E414</f>
        <v>882.1</v>
      </c>
      <c r="P414" s="53">
        <v>0</v>
      </c>
      <c r="Q414" s="53"/>
      <c r="R414" s="53">
        <v>0</v>
      </c>
      <c r="S414" s="53">
        <v>0</v>
      </c>
      <c r="T414" s="53">
        <v>0</v>
      </c>
      <c r="U414" s="53">
        <v>0</v>
      </c>
      <c r="V414" s="111">
        <f t="shared" si="120"/>
        <v>2432478.96</v>
      </c>
      <c r="W414" s="71">
        <v>2017</v>
      </c>
      <c r="X414" s="71">
        <v>2017</v>
      </c>
      <c r="Y414" s="172" t="s">
        <v>155</v>
      </c>
      <c r="Z414" s="51">
        <v>4</v>
      </c>
    </row>
    <row r="415" spans="1:26" s="24" customFormat="1" ht="17.25" customHeight="1">
      <c r="A415" s="51">
        <f t="shared" si="119"/>
        <v>339</v>
      </c>
      <c r="B415" s="73" t="s">
        <v>402</v>
      </c>
      <c r="C415" s="51">
        <v>1959</v>
      </c>
      <c r="D415" s="74">
        <v>4932</v>
      </c>
      <c r="E415" s="74">
        <v>4080.8</v>
      </c>
      <c r="F415" s="54">
        <f>G415+I415+J415+L415+N415+P415+R415</f>
        <v>2114017.63</v>
      </c>
      <c r="G415" s="48">
        <f>ROUND(518.04*E415,2)</f>
        <v>2114017.63</v>
      </c>
      <c r="H415" s="53">
        <f t="shared" si="116"/>
        <v>518.03999950989999</v>
      </c>
      <c r="I415" s="53">
        <v>0</v>
      </c>
      <c r="J415" s="53">
        <v>0</v>
      </c>
      <c r="K415" s="53"/>
      <c r="L415" s="53">
        <v>0</v>
      </c>
      <c r="M415" s="53"/>
      <c r="N415" s="53">
        <v>0</v>
      </c>
      <c r="O415" s="53">
        <f>N415/E415</f>
        <v>0</v>
      </c>
      <c r="P415" s="53">
        <v>0</v>
      </c>
      <c r="Q415" s="53"/>
      <c r="R415" s="53">
        <v>0</v>
      </c>
      <c r="S415" s="53">
        <v>0</v>
      </c>
      <c r="T415" s="53">
        <v>0</v>
      </c>
      <c r="U415" s="53">
        <v>0</v>
      </c>
      <c r="V415" s="111">
        <f t="shared" si="120"/>
        <v>2114017.63</v>
      </c>
      <c r="W415" s="71">
        <v>2017</v>
      </c>
      <c r="X415" s="71">
        <v>2017</v>
      </c>
      <c r="Y415" s="172" t="s">
        <v>155</v>
      </c>
      <c r="Z415" s="51">
        <v>4</v>
      </c>
    </row>
    <row r="416" spans="1:26" s="24" customFormat="1" ht="17.25" customHeight="1">
      <c r="A416" s="51">
        <f t="shared" si="119"/>
        <v>340</v>
      </c>
      <c r="B416" s="73" t="s">
        <v>403</v>
      </c>
      <c r="C416" s="51">
        <v>1963</v>
      </c>
      <c r="D416" s="74">
        <v>4272.6000000000004</v>
      </c>
      <c r="E416" s="74">
        <v>2262.4</v>
      </c>
      <c r="F416" s="54">
        <f>G416+I416+J416+L416+N416+P416+R416</f>
        <v>1172013.7</v>
      </c>
      <c r="G416" s="48">
        <f>ROUND(518.04*E416,2)</f>
        <v>1172013.7</v>
      </c>
      <c r="H416" s="53">
        <f t="shared" si="116"/>
        <v>518.0400017680339</v>
      </c>
      <c r="I416" s="53">
        <v>0</v>
      </c>
      <c r="J416" s="53">
        <v>0</v>
      </c>
      <c r="K416" s="53"/>
      <c r="L416" s="53">
        <v>0</v>
      </c>
      <c r="M416" s="53"/>
      <c r="N416" s="53">
        <v>0</v>
      </c>
      <c r="O416" s="53">
        <f>N416/E416</f>
        <v>0</v>
      </c>
      <c r="P416" s="53">
        <v>0</v>
      </c>
      <c r="Q416" s="53"/>
      <c r="R416" s="53">
        <v>0</v>
      </c>
      <c r="S416" s="53">
        <v>0</v>
      </c>
      <c r="T416" s="53">
        <v>0</v>
      </c>
      <c r="U416" s="53">
        <v>0</v>
      </c>
      <c r="V416" s="111">
        <f t="shared" si="120"/>
        <v>1172013.7</v>
      </c>
      <c r="W416" s="71">
        <v>2017</v>
      </c>
      <c r="X416" s="71">
        <v>2017</v>
      </c>
      <c r="Y416" s="172" t="s">
        <v>155</v>
      </c>
      <c r="Z416" s="51">
        <v>5</v>
      </c>
    </row>
    <row r="417" spans="1:26" s="24" customFormat="1" ht="17.25" customHeight="1">
      <c r="A417" s="51">
        <f t="shared" si="119"/>
        <v>341</v>
      </c>
      <c r="B417" s="52" t="s">
        <v>406</v>
      </c>
      <c r="C417" s="51">
        <v>1957</v>
      </c>
      <c r="D417" s="74">
        <v>706.9</v>
      </c>
      <c r="E417" s="74">
        <v>629.1</v>
      </c>
      <c r="F417" s="54">
        <f>G417+I417+J417+L417+N417+P417+R417</f>
        <v>325898.96000000002</v>
      </c>
      <c r="G417" s="48">
        <f>ROUND(518.04*E417,2)</f>
        <v>325898.96000000002</v>
      </c>
      <c r="H417" s="53">
        <f t="shared" si="116"/>
        <v>518.03999364171034</v>
      </c>
      <c r="I417" s="53">
        <v>0</v>
      </c>
      <c r="J417" s="53">
        <v>0</v>
      </c>
      <c r="K417" s="53"/>
      <c r="L417" s="53">
        <v>0</v>
      </c>
      <c r="M417" s="53"/>
      <c r="N417" s="53">
        <v>0</v>
      </c>
      <c r="O417" s="53"/>
      <c r="P417" s="53">
        <v>0</v>
      </c>
      <c r="Q417" s="53"/>
      <c r="R417" s="53">
        <v>0</v>
      </c>
      <c r="S417" s="53">
        <v>0</v>
      </c>
      <c r="T417" s="53">
        <v>0</v>
      </c>
      <c r="U417" s="53">
        <v>0</v>
      </c>
      <c r="V417" s="111">
        <f t="shared" si="120"/>
        <v>325898.96000000002</v>
      </c>
      <c r="W417" s="71">
        <v>2017</v>
      </c>
      <c r="X417" s="71">
        <v>2017</v>
      </c>
      <c r="Y417" s="172" t="s">
        <v>155</v>
      </c>
      <c r="Z417" s="51">
        <v>2</v>
      </c>
    </row>
    <row r="418" spans="1:26" s="24" customFormat="1" ht="17.25" customHeight="1">
      <c r="A418" s="51">
        <f t="shared" si="119"/>
        <v>342</v>
      </c>
      <c r="B418" s="52" t="s">
        <v>407</v>
      </c>
      <c r="C418" s="51">
        <v>1957</v>
      </c>
      <c r="D418" s="74">
        <v>715.9</v>
      </c>
      <c r="E418" s="74">
        <v>634.4</v>
      </c>
      <c r="F418" s="54">
        <f>G418+I418+J418+L418+N418+P418+R418</f>
        <v>328644.58</v>
      </c>
      <c r="G418" s="48">
        <f>ROUND(518.04*E418,2)</f>
        <v>328644.58</v>
      </c>
      <c r="H418" s="53">
        <f t="shared" si="116"/>
        <v>518.04000630517032</v>
      </c>
      <c r="I418" s="53">
        <v>0</v>
      </c>
      <c r="J418" s="53">
        <v>0</v>
      </c>
      <c r="K418" s="53"/>
      <c r="L418" s="53">
        <v>0</v>
      </c>
      <c r="M418" s="53"/>
      <c r="N418" s="53">
        <v>0</v>
      </c>
      <c r="O418" s="53"/>
      <c r="P418" s="53">
        <v>0</v>
      </c>
      <c r="Q418" s="53"/>
      <c r="R418" s="53">
        <v>0</v>
      </c>
      <c r="S418" s="53">
        <v>0</v>
      </c>
      <c r="T418" s="53">
        <v>0</v>
      </c>
      <c r="U418" s="53">
        <v>0</v>
      </c>
      <c r="V418" s="111">
        <f t="shared" si="120"/>
        <v>328644.58</v>
      </c>
      <c r="W418" s="71">
        <v>2017</v>
      </c>
      <c r="X418" s="71">
        <v>2017</v>
      </c>
      <c r="Y418" s="172" t="s">
        <v>155</v>
      </c>
      <c r="Z418" s="51">
        <v>2</v>
      </c>
    </row>
    <row r="419" spans="1:26" ht="17.25" customHeight="1">
      <c r="A419" s="352" t="s">
        <v>280</v>
      </c>
      <c r="B419" s="353"/>
      <c r="C419" s="97"/>
      <c r="D419" s="70">
        <f>SUM(D401:D418)</f>
        <v>43473</v>
      </c>
      <c r="E419" s="70">
        <f>SUM(E401:E418)</f>
        <v>31883.500000000004</v>
      </c>
      <c r="F419" s="56">
        <f t="shared" ref="F419:V419" si="121">SUM(F401:F418)</f>
        <v>18271037.099999998</v>
      </c>
      <c r="G419" s="50">
        <f t="shared" si="121"/>
        <v>8624093.9800000004</v>
      </c>
      <c r="H419" s="50"/>
      <c r="I419" s="50">
        <f t="shared" si="121"/>
        <v>0</v>
      </c>
      <c r="J419" s="50">
        <f t="shared" si="121"/>
        <v>2452339.0099999998</v>
      </c>
      <c r="K419" s="50"/>
      <c r="L419" s="50">
        <f t="shared" si="121"/>
        <v>0</v>
      </c>
      <c r="M419" s="50"/>
      <c r="N419" s="50">
        <f t="shared" si="121"/>
        <v>6336653.5599999996</v>
      </c>
      <c r="O419" s="50"/>
      <c r="P419" s="50">
        <f t="shared" si="121"/>
        <v>857950.55</v>
      </c>
      <c r="Q419" s="50"/>
      <c r="R419" s="50">
        <f t="shared" si="121"/>
        <v>0</v>
      </c>
      <c r="S419" s="50">
        <f t="shared" si="121"/>
        <v>0</v>
      </c>
      <c r="T419" s="50">
        <f t="shared" si="121"/>
        <v>0</v>
      </c>
      <c r="U419" s="50">
        <f t="shared" si="121"/>
        <v>0</v>
      </c>
      <c r="V419" s="113">
        <f t="shared" si="121"/>
        <v>18271037.099999998</v>
      </c>
      <c r="W419" s="22" t="s">
        <v>117</v>
      </c>
      <c r="X419" s="22" t="s">
        <v>117</v>
      </c>
    </row>
    <row r="420" spans="1:26" ht="17.25" customHeight="1">
      <c r="A420" s="352" t="s">
        <v>445</v>
      </c>
      <c r="B420" s="358"/>
      <c r="C420" s="57"/>
      <c r="D420" s="58">
        <f>D399+D419</f>
        <v>101698.99999999999</v>
      </c>
      <c r="E420" s="58">
        <f>E399+E419</f>
        <v>81501.799999999988</v>
      </c>
      <c r="F420" s="56">
        <f>F399+F419</f>
        <v>41731848.68</v>
      </c>
      <c r="G420" s="56">
        <f t="shared" ref="G420:V420" si="122">G399+G419</f>
        <v>28063324.620000001</v>
      </c>
      <c r="H420" s="56"/>
      <c r="I420" s="56">
        <f t="shared" si="122"/>
        <v>4021580.94</v>
      </c>
      <c r="J420" s="56">
        <f t="shared" si="122"/>
        <v>2452339.0099999998</v>
      </c>
      <c r="K420" s="56"/>
      <c r="L420" s="56">
        <f t="shared" si="122"/>
        <v>0</v>
      </c>
      <c r="M420" s="56"/>
      <c r="N420" s="56">
        <f t="shared" si="122"/>
        <v>6336653.5599999996</v>
      </c>
      <c r="O420" s="56">
        <f t="shared" si="122"/>
        <v>0</v>
      </c>
      <c r="P420" s="56">
        <f t="shared" si="122"/>
        <v>857950.55</v>
      </c>
      <c r="Q420" s="56">
        <f t="shared" si="122"/>
        <v>0</v>
      </c>
      <c r="R420" s="56">
        <f t="shared" si="122"/>
        <v>0</v>
      </c>
      <c r="S420" s="56">
        <f t="shared" si="122"/>
        <v>0</v>
      </c>
      <c r="T420" s="56">
        <f t="shared" si="122"/>
        <v>0</v>
      </c>
      <c r="U420" s="56">
        <f t="shared" si="122"/>
        <v>0</v>
      </c>
      <c r="V420" s="56">
        <f t="shared" si="122"/>
        <v>41731848.68</v>
      </c>
      <c r="W420" s="22" t="s">
        <v>117</v>
      </c>
      <c r="X420" s="22" t="s">
        <v>117</v>
      </c>
      <c r="Y420" s="3"/>
    </row>
    <row r="421" spans="1:26" ht="17.25" customHeight="1">
      <c r="A421" s="354" t="s">
        <v>103</v>
      </c>
      <c r="B421" s="355"/>
      <c r="C421" s="355"/>
      <c r="D421" s="355"/>
      <c r="E421" s="355"/>
      <c r="F421" s="355"/>
      <c r="G421" s="355"/>
      <c r="H421" s="355"/>
      <c r="I421" s="355"/>
      <c r="J421" s="355"/>
      <c r="K421" s="355"/>
      <c r="L421" s="355"/>
      <c r="M421" s="355"/>
      <c r="N421" s="355"/>
      <c r="O421" s="355"/>
      <c r="P421" s="355"/>
      <c r="Q421" s="355"/>
      <c r="R421" s="355"/>
      <c r="S421" s="355"/>
      <c r="T421" s="355"/>
      <c r="U421" s="355"/>
      <c r="V421" s="360"/>
      <c r="W421" s="23"/>
      <c r="X421" s="23"/>
    </row>
    <row r="422" spans="1:26" ht="17.25" customHeight="1">
      <c r="A422" s="361" t="s">
        <v>33</v>
      </c>
      <c r="B422" s="362"/>
      <c r="C422" s="362"/>
      <c r="D422" s="362"/>
      <c r="E422" s="362"/>
      <c r="F422" s="362"/>
      <c r="G422" s="362"/>
      <c r="H422" s="362"/>
      <c r="I422" s="362"/>
      <c r="J422" s="362"/>
      <c r="K422" s="362"/>
      <c r="L422" s="362"/>
      <c r="M422" s="362"/>
      <c r="N422" s="362"/>
      <c r="O422" s="362"/>
      <c r="P422" s="362"/>
      <c r="Q422" s="362"/>
      <c r="R422" s="362"/>
      <c r="S422" s="362"/>
      <c r="T422" s="362"/>
      <c r="U422" s="362"/>
      <c r="V422" s="363"/>
      <c r="W422" s="23"/>
      <c r="X422" s="23"/>
    </row>
    <row r="423" spans="1:26" ht="17.25" customHeight="1">
      <c r="A423" s="71">
        <f>A418+1</f>
        <v>343</v>
      </c>
      <c r="B423" s="52" t="s">
        <v>410</v>
      </c>
      <c r="C423" s="51">
        <v>1982</v>
      </c>
      <c r="D423" s="67">
        <v>5214.2</v>
      </c>
      <c r="E423" s="34">
        <v>4364.1000000000004</v>
      </c>
      <c r="F423" s="54">
        <f>G423+I423+J423+L423+N423+P423+R423</f>
        <v>4052765.11</v>
      </c>
      <c r="G423" s="53">
        <v>0</v>
      </c>
      <c r="H423" s="53">
        <f>G423/E423</f>
        <v>0</v>
      </c>
      <c r="I423" s="53">
        <v>0</v>
      </c>
      <c r="J423" s="76">
        <f>ROUND(928.66*E423,2)</f>
        <v>4052765.11</v>
      </c>
      <c r="K423" s="53">
        <f>J423/E423</f>
        <v>928.66000091656917</v>
      </c>
      <c r="L423" s="53">
        <v>0</v>
      </c>
      <c r="M423" s="53"/>
      <c r="N423" s="53">
        <v>0</v>
      </c>
      <c r="O423" s="53">
        <f>N423/E423</f>
        <v>0</v>
      </c>
      <c r="P423" s="53">
        <v>0</v>
      </c>
      <c r="Q423" s="53"/>
      <c r="R423" s="53">
        <v>0</v>
      </c>
      <c r="S423" s="53">
        <v>0</v>
      </c>
      <c r="T423" s="53">
        <v>0</v>
      </c>
      <c r="U423" s="53">
        <v>0</v>
      </c>
      <c r="V423" s="111">
        <f>F423</f>
        <v>4052765.11</v>
      </c>
      <c r="W423" s="71">
        <v>2017</v>
      </c>
      <c r="X423" s="71">
        <v>2017</v>
      </c>
      <c r="Y423" s="213" t="s">
        <v>154</v>
      </c>
      <c r="Z423" s="215">
        <v>5</v>
      </c>
    </row>
    <row r="424" spans="1:26" ht="17.25" customHeight="1">
      <c r="A424" s="71">
        <f>A423+1</f>
        <v>344</v>
      </c>
      <c r="B424" s="52" t="s">
        <v>411</v>
      </c>
      <c r="C424" s="51">
        <v>1992</v>
      </c>
      <c r="D424" s="67">
        <v>2398.1999999999998</v>
      </c>
      <c r="E424" s="34">
        <v>1328</v>
      </c>
      <c r="F424" s="54">
        <f>G424+I424+J424+L424+N424+P424+R424</f>
        <v>1233260.48</v>
      </c>
      <c r="G424" s="53">
        <v>0</v>
      </c>
      <c r="H424" s="53">
        <f>G424/E424</f>
        <v>0</v>
      </c>
      <c r="I424" s="53">
        <v>0</v>
      </c>
      <c r="J424" s="76">
        <f>ROUND(928.66*E424,2)</f>
        <v>1233260.48</v>
      </c>
      <c r="K424" s="53">
        <f>J424/E424</f>
        <v>928.66</v>
      </c>
      <c r="L424" s="53">
        <v>0</v>
      </c>
      <c r="M424" s="53"/>
      <c r="N424" s="53">
        <v>0</v>
      </c>
      <c r="O424" s="53">
        <f>N424/E424</f>
        <v>0</v>
      </c>
      <c r="P424" s="53">
        <v>0</v>
      </c>
      <c r="Q424" s="53"/>
      <c r="R424" s="53">
        <v>0</v>
      </c>
      <c r="S424" s="53">
        <v>0</v>
      </c>
      <c r="T424" s="53">
        <v>0</v>
      </c>
      <c r="U424" s="53">
        <v>0</v>
      </c>
      <c r="V424" s="111">
        <f>F424</f>
        <v>1233260.48</v>
      </c>
      <c r="W424" s="71">
        <v>2017</v>
      </c>
      <c r="X424" s="71">
        <v>2017</v>
      </c>
      <c r="Y424" s="213" t="s">
        <v>154</v>
      </c>
      <c r="Z424" s="215">
        <v>5</v>
      </c>
    </row>
    <row r="425" spans="1:26" ht="17.25" customHeight="1">
      <c r="A425" s="71">
        <f>A424+1</f>
        <v>345</v>
      </c>
      <c r="B425" s="72" t="s">
        <v>412</v>
      </c>
      <c r="C425" s="51">
        <v>1985</v>
      </c>
      <c r="D425" s="67">
        <v>1354.8</v>
      </c>
      <c r="E425" s="34">
        <v>829.9</v>
      </c>
      <c r="F425" s="54">
        <f>G425+I425+J425+L425+N425+P425+R425</f>
        <v>770694.93</v>
      </c>
      <c r="G425" s="53">
        <v>0</v>
      </c>
      <c r="H425" s="53">
        <f>G425/E425</f>
        <v>0</v>
      </c>
      <c r="I425" s="53">
        <v>0</v>
      </c>
      <c r="J425" s="76">
        <f>ROUND(928.66*E425,2)</f>
        <v>770694.93</v>
      </c>
      <c r="K425" s="53">
        <f>J425/E425</f>
        <v>928.65999518014223</v>
      </c>
      <c r="L425" s="53">
        <v>0</v>
      </c>
      <c r="M425" s="53"/>
      <c r="N425" s="53">
        <v>0</v>
      </c>
      <c r="O425" s="53"/>
      <c r="P425" s="53">
        <v>0</v>
      </c>
      <c r="Q425" s="53"/>
      <c r="R425" s="53">
        <v>0</v>
      </c>
      <c r="S425" s="53">
        <v>0</v>
      </c>
      <c r="T425" s="53">
        <v>0</v>
      </c>
      <c r="U425" s="53">
        <v>0</v>
      </c>
      <c r="V425" s="111">
        <f>F425</f>
        <v>770694.93</v>
      </c>
      <c r="W425" s="71">
        <v>2017</v>
      </c>
      <c r="X425" s="71">
        <v>2017</v>
      </c>
      <c r="Y425" s="213" t="s">
        <v>154</v>
      </c>
      <c r="Z425" s="215">
        <v>3</v>
      </c>
    </row>
    <row r="426" spans="1:26" ht="17.25" customHeight="1">
      <c r="A426" s="352" t="s">
        <v>280</v>
      </c>
      <c r="B426" s="353"/>
      <c r="C426" s="86"/>
      <c r="D426" s="239">
        <f>SUM(D423:D425)</f>
        <v>8967.1999999999989</v>
      </c>
      <c r="E426" s="239">
        <f>SUM(E423:E425)</f>
        <v>6522</v>
      </c>
      <c r="F426" s="87">
        <f>SUM(F423:F425)</f>
        <v>6056720.5199999996</v>
      </c>
      <c r="G426" s="77">
        <f>SUM(G423:G425)</f>
        <v>0</v>
      </c>
      <c r="H426" s="77"/>
      <c r="I426" s="77">
        <f>SUM(I423:I425)</f>
        <v>0</v>
      </c>
      <c r="J426" s="77">
        <f>SUM(J423:J425)</f>
        <v>6056720.5199999996</v>
      </c>
      <c r="K426" s="77"/>
      <c r="L426" s="77">
        <f>SUM(L423:L425)</f>
        <v>0</v>
      </c>
      <c r="M426" s="77"/>
      <c r="N426" s="77">
        <f>SUM(N423:N425)</f>
        <v>0</v>
      </c>
      <c r="O426" s="77"/>
      <c r="P426" s="77">
        <f>SUM(P423:P425)</f>
        <v>0</v>
      </c>
      <c r="Q426" s="77"/>
      <c r="R426" s="77">
        <f>SUM(R423:R425)</f>
        <v>0</v>
      </c>
      <c r="S426" s="77">
        <f>SUM(S423:S425)</f>
        <v>0</v>
      </c>
      <c r="T426" s="77">
        <f>SUM(T423:T425)</f>
        <v>0</v>
      </c>
      <c r="U426" s="77">
        <f>SUM(U423:U425)</f>
        <v>0</v>
      </c>
      <c r="V426" s="112">
        <f>SUM(V423:V425)</f>
        <v>6056720.5199999996</v>
      </c>
      <c r="W426" s="22" t="s">
        <v>117</v>
      </c>
      <c r="X426" s="22" t="s">
        <v>117</v>
      </c>
    </row>
    <row r="427" spans="1:26" ht="17.25" customHeight="1">
      <c r="A427" s="371" t="s">
        <v>281</v>
      </c>
      <c r="B427" s="372"/>
      <c r="C427" s="86"/>
      <c r="D427" s="239">
        <f t="shared" ref="D427:V427" si="123">D426</f>
        <v>8967.1999999999989</v>
      </c>
      <c r="E427" s="239">
        <f t="shared" si="123"/>
        <v>6522</v>
      </c>
      <c r="F427" s="87">
        <f t="shared" si="123"/>
        <v>6056720.5199999996</v>
      </c>
      <c r="G427" s="77">
        <f t="shared" si="123"/>
        <v>0</v>
      </c>
      <c r="H427" s="77"/>
      <c r="I427" s="77">
        <f t="shared" si="123"/>
        <v>0</v>
      </c>
      <c r="J427" s="77">
        <f t="shared" si="123"/>
        <v>6056720.5199999996</v>
      </c>
      <c r="K427" s="77"/>
      <c r="L427" s="77">
        <f t="shared" si="123"/>
        <v>0</v>
      </c>
      <c r="M427" s="77"/>
      <c r="N427" s="77">
        <f t="shared" si="123"/>
        <v>0</v>
      </c>
      <c r="O427" s="77"/>
      <c r="P427" s="77">
        <f t="shared" si="123"/>
        <v>0</v>
      </c>
      <c r="Q427" s="77"/>
      <c r="R427" s="77">
        <f t="shared" si="123"/>
        <v>0</v>
      </c>
      <c r="S427" s="77">
        <f t="shared" si="123"/>
        <v>0</v>
      </c>
      <c r="T427" s="77">
        <f t="shared" si="123"/>
        <v>0</v>
      </c>
      <c r="U427" s="77">
        <f t="shared" si="123"/>
        <v>0</v>
      </c>
      <c r="V427" s="112">
        <f t="shared" si="123"/>
        <v>6056720.5199999996</v>
      </c>
      <c r="W427" s="88" t="s">
        <v>117</v>
      </c>
      <c r="X427" s="88" t="s">
        <v>117</v>
      </c>
    </row>
    <row r="428" spans="1:26" ht="18" customHeight="1">
      <c r="A428" s="89"/>
      <c r="B428" s="89"/>
      <c r="C428" s="90"/>
      <c r="D428" s="116"/>
      <c r="E428" s="129"/>
      <c r="F428" s="91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116"/>
      <c r="W428" s="89"/>
      <c r="X428" s="89"/>
    </row>
    <row r="429" spans="1:26" ht="23.25" customHeight="1">
      <c r="A429" s="373" t="s">
        <v>134</v>
      </c>
      <c r="B429" s="373"/>
      <c r="C429" s="373"/>
      <c r="D429" s="373"/>
      <c r="E429" s="373"/>
      <c r="F429" s="373"/>
      <c r="G429" s="373"/>
      <c r="H429" s="373"/>
      <c r="I429" s="373"/>
      <c r="J429" s="373"/>
      <c r="K429" s="373"/>
      <c r="L429" s="373"/>
      <c r="M429" s="373"/>
      <c r="N429" s="373"/>
      <c r="O429" s="373"/>
      <c r="P429" s="373"/>
      <c r="Q429" s="373"/>
      <c r="R429" s="373"/>
      <c r="S429" s="373"/>
      <c r="T429" s="373"/>
      <c r="U429" s="373"/>
      <c r="V429" s="373"/>
      <c r="W429" s="29"/>
      <c r="X429" s="29"/>
    </row>
    <row r="430" spans="1:26" ht="21.75" customHeight="1">
      <c r="A430" s="374" t="s">
        <v>143</v>
      </c>
      <c r="B430" s="374"/>
      <c r="C430" s="374"/>
      <c r="D430" s="374"/>
      <c r="E430" s="374"/>
      <c r="F430" s="374"/>
      <c r="G430" s="374"/>
      <c r="H430" s="374"/>
      <c r="I430" s="374"/>
      <c r="J430" s="374"/>
      <c r="K430" s="374"/>
      <c r="L430" s="374"/>
      <c r="M430" s="374"/>
      <c r="N430" s="374"/>
      <c r="O430" s="374"/>
      <c r="P430" s="374"/>
      <c r="Q430" s="374"/>
      <c r="R430" s="374"/>
      <c r="S430" s="374"/>
      <c r="T430" s="374"/>
      <c r="U430" s="374"/>
      <c r="V430" s="374"/>
    </row>
    <row r="431" spans="1:26" ht="21.75" customHeight="1">
      <c r="A431" s="375"/>
      <c r="B431" s="375"/>
      <c r="C431" s="375"/>
      <c r="D431" s="375"/>
      <c r="E431" s="375"/>
      <c r="F431" s="375"/>
      <c r="G431" s="375"/>
      <c r="H431" s="375"/>
      <c r="I431" s="375"/>
      <c r="J431" s="375"/>
      <c r="K431" s="375"/>
      <c r="L431" s="375"/>
      <c r="M431" s="375"/>
      <c r="N431" s="375"/>
      <c r="O431" s="375"/>
      <c r="P431" s="375"/>
      <c r="Q431" s="375"/>
      <c r="R431" s="375"/>
      <c r="S431" s="79"/>
      <c r="T431" s="79"/>
      <c r="U431" s="79"/>
      <c r="V431" s="117"/>
    </row>
    <row r="432" spans="1:26" ht="18.75" hidden="1">
      <c r="A432" s="370" t="s">
        <v>144</v>
      </c>
      <c r="B432" s="370"/>
      <c r="C432" s="370"/>
      <c r="D432" s="370"/>
      <c r="E432" s="370"/>
      <c r="F432" s="370"/>
      <c r="G432" s="370"/>
      <c r="N432" s="80" t="e">
        <f>19217747.28-S432</f>
        <v>#REF!</v>
      </c>
      <c r="O432" s="80"/>
      <c r="P432" s="80"/>
      <c r="Q432" s="80"/>
      <c r="R432" s="80"/>
      <c r="S432" s="80" t="e">
        <f>#REF!+#REF!+#REF!+#REF!+#REF!+#REF!+#REF!+#REF!+#REF!+#REF!+#REF!+#REF!+#REF!+#REF!+#REF!+#REF!+#REF!+#REF!+#REF!+#REF!+#REF!+#REF!</f>
        <v>#REF!</v>
      </c>
      <c r="T432" s="80" t="e">
        <f>#REF!+#REF!+#REF!+#REF!+#REF!+#REF!+#REF!+#REF!+#REF!+#REF!+#REF!+#REF!+#REF!+#REF!+#REF!+#REF!+#REF!+#REF!+#REF!+#REF!+#REF!+#REF!</f>
        <v>#REF!</v>
      </c>
      <c r="U432" s="80" t="e">
        <f>#REF!+#REF!+#REF!+#REF!+#REF!+#REF!+#REF!+#REF!+#REF!+#REF!+#REF!+#REF!+#REF!+#REF!+#REF!+#REF!+#REF!+#REF!+#REF!+#REF!+#REF!+#REF!</f>
        <v>#REF!</v>
      </c>
      <c r="V432" s="119" t="e">
        <f>23738356.5-U432</f>
        <v>#REF!</v>
      </c>
    </row>
    <row r="433" spans="1:25" ht="26.25" hidden="1" customHeight="1">
      <c r="A433" s="370" t="s">
        <v>144</v>
      </c>
      <c r="B433" s="370"/>
      <c r="C433" s="370"/>
      <c r="D433" s="370"/>
      <c r="E433" s="370"/>
      <c r="F433" s="370"/>
      <c r="G433" s="370"/>
      <c r="N433" s="81" t="e">
        <f>13987520.34-S433</f>
        <v>#REF!</v>
      </c>
      <c r="O433" s="81"/>
      <c r="P433" s="82"/>
      <c r="Q433" s="82"/>
      <c r="R433" s="82"/>
      <c r="S433" s="81" t="e">
        <f>#REF!+#REF!+#REF!+#REF!+#REF!</f>
        <v>#REF!</v>
      </c>
      <c r="T433" s="81" t="e">
        <f>#REF!+#REF!+#REF!+#REF!+#REF!</f>
        <v>#REF!</v>
      </c>
      <c r="U433" s="81" t="e">
        <f>#REF!+#REF!+#REF!+#REF!+#REF!</f>
        <v>#REF!</v>
      </c>
      <c r="V433" s="119" t="e">
        <f>17290122.9-U433</f>
        <v>#REF!</v>
      </c>
    </row>
    <row r="434" spans="1:25" ht="36" customHeight="1">
      <c r="A434" s="370"/>
      <c r="B434" s="370"/>
      <c r="C434" s="370"/>
      <c r="D434" s="370"/>
      <c r="E434" s="370"/>
      <c r="F434" s="370"/>
      <c r="G434" s="370"/>
      <c r="H434" s="94"/>
      <c r="I434" s="83"/>
      <c r="J434" s="83"/>
      <c r="K434" s="84"/>
    </row>
    <row r="437" spans="1:25" ht="18" customHeight="1">
      <c r="F437" s="85"/>
      <c r="G437" s="85"/>
      <c r="H437" s="85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120"/>
    </row>
    <row r="438" spans="1:25" ht="18" customHeight="1">
      <c r="F438" s="85"/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120"/>
    </row>
    <row r="439" spans="1:25" ht="18" customHeight="1">
      <c r="F439" s="85"/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120"/>
    </row>
    <row r="440" spans="1:25" s="8" customFormat="1" ht="18" customHeight="1">
      <c r="A440" s="2"/>
      <c r="B440" s="2"/>
      <c r="D440" s="120"/>
      <c r="E440" s="120"/>
      <c r="F440" s="10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18"/>
      <c r="Y440" s="140"/>
    </row>
    <row r="446" spans="1:25" s="8" customFormat="1" ht="15.75">
      <c r="A446" s="2"/>
      <c r="B446" s="2"/>
      <c r="D446" s="128"/>
      <c r="E446" s="128"/>
      <c r="F446" s="78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66"/>
      <c r="Y446" s="140"/>
    </row>
  </sheetData>
  <sortState ref="B66:AA194">
    <sortCondition ref="B66"/>
  </sortState>
  <mergeCells count="97">
    <mergeCell ref="A432:G432"/>
    <mergeCell ref="A433:G433"/>
    <mergeCell ref="A434:G434"/>
    <mergeCell ref="A427:B427"/>
    <mergeCell ref="A429:V429"/>
    <mergeCell ref="A430:V430"/>
    <mergeCell ref="A431:R431"/>
    <mergeCell ref="A422:V422"/>
    <mergeCell ref="A426:B426"/>
    <mergeCell ref="A421:V421"/>
    <mergeCell ref="A400:V400"/>
    <mergeCell ref="A419:B419"/>
    <mergeCell ref="A420:B420"/>
    <mergeCell ref="A378:B378"/>
    <mergeCell ref="A379:V379"/>
    <mergeCell ref="A380:V380"/>
    <mergeCell ref="A399:B399"/>
    <mergeCell ref="A373:V373"/>
    <mergeCell ref="A377:B377"/>
    <mergeCell ref="A367:B367"/>
    <mergeCell ref="A368:V368"/>
    <mergeCell ref="A369:V369"/>
    <mergeCell ref="A372:B372"/>
    <mergeCell ref="A364:V364"/>
    <mergeCell ref="A366:B366"/>
    <mergeCell ref="A360:B360"/>
    <mergeCell ref="A361:V361"/>
    <mergeCell ref="A363:B363"/>
    <mergeCell ref="A346:V346"/>
    <mergeCell ref="A353:B353"/>
    <mergeCell ref="A354:V354"/>
    <mergeCell ref="A341:B341"/>
    <mergeCell ref="A342:V342"/>
    <mergeCell ref="A345:B345"/>
    <mergeCell ref="A328:V328"/>
    <mergeCell ref="A331:B331"/>
    <mergeCell ref="A332:V332"/>
    <mergeCell ref="A323:B323"/>
    <mergeCell ref="A324:V324"/>
    <mergeCell ref="A325:V325"/>
    <mergeCell ref="A327:B327"/>
    <mergeCell ref="A313:V313"/>
    <mergeCell ref="A322:B322"/>
    <mergeCell ref="A305:V305"/>
    <mergeCell ref="A312:B312"/>
    <mergeCell ref="A301:V301"/>
    <mergeCell ref="A304:B304"/>
    <mergeCell ref="A271:B271"/>
    <mergeCell ref="A272:V272"/>
    <mergeCell ref="A299:B299"/>
    <mergeCell ref="A300:V300"/>
    <mergeCell ref="A266:B266"/>
    <mergeCell ref="A267:V267"/>
    <mergeCell ref="A258:B258"/>
    <mergeCell ref="A259:V259"/>
    <mergeCell ref="A262:B262"/>
    <mergeCell ref="A263:V263"/>
    <mergeCell ref="A218:B218"/>
    <mergeCell ref="A219:V219"/>
    <mergeCell ref="A194:B194"/>
    <mergeCell ref="A195:V195"/>
    <mergeCell ref="A204:B204"/>
    <mergeCell ref="A205:V205"/>
    <mergeCell ref="A64:B64"/>
    <mergeCell ref="A65:V65"/>
    <mergeCell ref="A41:B41"/>
    <mergeCell ref="A42:V42"/>
    <mergeCell ref="A49:B49"/>
    <mergeCell ref="A50:V50"/>
    <mergeCell ref="A28:B28"/>
    <mergeCell ref="A29:V29"/>
    <mergeCell ref="A15:B15"/>
    <mergeCell ref="A16:V16"/>
    <mergeCell ref="G11:G12"/>
    <mergeCell ref="I11:I12"/>
    <mergeCell ref="J11:J12"/>
    <mergeCell ref="L11:L12"/>
    <mergeCell ref="N11:N12"/>
    <mergeCell ref="P11:P12"/>
    <mergeCell ref="P1:U1"/>
    <mergeCell ref="P2:U2"/>
    <mergeCell ref="P3:U3"/>
    <mergeCell ref="P4:V4"/>
    <mergeCell ref="P5:V5"/>
    <mergeCell ref="A6:X6"/>
    <mergeCell ref="A8:X8"/>
    <mergeCell ref="A10:A13"/>
    <mergeCell ref="B10:B13"/>
    <mergeCell ref="C10:C13"/>
    <mergeCell ref="D10:D12"/>
    <mergeCell ref="E10:E12"/>
    <mergeCell ref="F10:V10"/>
    <mergeCell ref="W10:W13"/>
    <mergeCell ref="X10:X13"/>
    <mergeCell ref="F11:F12"/>
    <mergeCell ref="R11:R12"/>
    <mergeCell ref="S11:V11"/>
  </mergeCells>
  <dataValidations count="2">
    <dataValidation type="list" allowBlank="1" showErrorMessage="1" sqref="Y264:Y265">
      <formula1>$AD$1:$AD$6</formula1>
      <formula2>0</formula2>
    </dataValidation>
    <dataValidation type="list" allowBlank="1" showInputMessage="1" showErrorMessage="1" sqref="Y302:Y303">
      <formula1>стены</formula1>
    </dataValidation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37" fitToHeight="10" orientation="landscape" horizontalDpi="300" verticalDpi="300" r:id="rId1"/>
  <headerFooter differentFirst="1">
    <oddHeader>&amp;C&amp;P</oddHeader>
  </headerFooter>
  <rowBreaks count="1" manualBreakCount="1">
    <brk id="257" max="2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2017</vt:lpstr>
      <vt:lpstr>'2017'!Заголовки_для_печати</vt:lpstr>
      <vt:lpstr>'2017'!Область_печати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albert2408</cp:lastModifiedBy>
  <cp:lastPrinted>2016-05-10T09:47:29Z</cp:lastPrinted>
  <dcterms:created xsi:type="dcterms:W3CDTF">2014-06-03T05:55:59Z</dcterms:created>
  <dcterms:modified xsi:type="dcterms:W3CDTF">2016-05-24T07:38:32Z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gDocId">
    <vt:lpwstr>{48096253-E920-4BD7-B8AB-F59DEE0E2E0D}</vt:lpwstr>
  </property>
  <property fmtid="{D5CDD505-2E9C-101B-9397-08002B2CF9AE}" pid="3" name="#RegDocId">
    <vt:lpwstr>Вн. Постановление Правительства № 85-ПП от 29.02.2016</vt:lpwstr>
  </property>
  <property fmtid="{D5CDD505-2E9C-101B-9397-08002B2CF9AE}" pid="4" name="FileDocId">
    <vt:lpwstr>{201EDEBD-949B-4880-A6D5-E13FFCADEE9A}</vt:lpwstr>
  </property>
  <property fmtid="{D5CDD505-2E9C-101B-9397-08002B2CF9AE}" pid="5" name="#FileDocId">
    <vt:lpwstr>Файл: 2016.02.12 Приложение 1 к ППМО о КП на 2014-2016.xlsx</vt:lpwstr>
  </property>
  <property fmtid="{D5CDD505-2E9C-101B-9397-08002B2CF9AE}" pid="6" name="Дайждест">
    <vt:lpwstr>Вн. Постановление Правительства № 85-ПП от 29.02.2016</vt:lpwstr>
  </property>
  <property fmtid="{D5CDD505-2E9C-101B-9397-08002B2CF9AE}" pid="7" name="Содержание">
    <vt:lpwstr>О ВНЕСЕНИИ ИЗМЕНЕНИЙ В ПОСТАНОВЛЕНИЕ ПРАВИТЕЛЬСТВА МУРМАНСКОЙ ОБЛАСТИ ОТ 27.06.2014 № 325-ПП/9</vt:lpwstr>
  </property>
  <property fmtid="{D5CDD505-2E9C-101B-9397-08002B2CF9AE}" pid="8" name="Вид_документа">
    <vt:lpwstr>Постановление Правительства</vt:lpwstr>
  </property>
  <property fmtid="{D5CDD505-2E9C-101B-9397-08002B2CF9AE}" pid="9" name="Отправитель_ФИО">
    <vt:lpwstr>Ковтун М.В.</vt:lpwstr>
  </property>
  <property fmtid="{D5CDD505-2E9C-101B-9397-08002B2CF9AE}" pid="10" name="Отправитель_Фамилия">
    <vt:lpwstr>Ковтун</vt:lpwstr>
  </property>
  <property fmtid="{D5CDD505-2E9C-101B-9397-08002B2CF9AE}" pid="11" name="Отправитель_Имя">
    <vt:lpwstr>Марина</vt:lpwstr>
  </property>
  <property fmtid="{D5CDD505-2E9C-101B-9397-08002B2CF9AE}" pid="12" name="Отправитель_Отчество">
    <vt:lpwstr>Васильевна</vt:lpwstr>
  </property>
  <property fmtid="{D5CDD505-2E9C-101B-9397-08002B2CF9AE}" pid="13" name="Отправитель_Фамилия_род">
    <vt:lpwstr>Ковтун</vt:lpwstr>
  </property>
  <property fmtid="{D5CDD505-2E9C-101B-9397-08002B2CF9AE}" pid="14" name="Отправитель_Фамилия_дат">
    <vt:lpwstr>Ковтун</vt:lpwstr>
  </property>
  <property fmtid="{D5CDD505-2E9C-101B-9397-08002B2CF9AE}" pid="15" name="Отправитель_Инициалы">
    <vt:lpwstr>М.В.</vt:lpwstr>
  </property>
  <property fmtid="{D5CDD505-2E9C-101B-9397-08002B2CF9AE}" pid="16" name="Отправитель_Должность">
    <vt:lpwstr>Губернатор</vt:lpwstr>
  </property>
  <property fmtid="{D5CDD505-2E9C-101B-9397-08002B2CF9AE}" pid="17" name="Отправитель_Должность_род">
    <vt:lpwstr>Губернатор</vt:lpwstr>
  </property>
  <property fmtid="{D5CDD505-2E9C-101B-9397-08002B2CF9AE}" pid="18" name="Отправитель_Должность_дат">
    <vt:lpwstr>Губернатор</vt:lpwstr>
  </property>
  <property fmtid="{D5CDD505-2E9C-101B-9397-08002B2CF9AE}" pid="19" name="Отправитель_Подразделение">
    <vt:lpwstr>Приемная Губернатора</vt:lpwstr>
  </property>
  <property fmtid="{D5CDD505-2E9C-101B-9397-08002B2CF9AE}" pid="20" name="Отправитель_Телефон">
    <vt:lpwstr>486-201</vt:lpwstr>
  </property>
  <property fmtid="{D5CDD505-2E9C-101B-9397-08002B2CF9AE}" pid="21" name="Исполнитель_ФИО">
    <vt:lpwstr>Трушкова В.В.</vt:lpwstr>
  </property>
  <property fmtid="{D5CDD505-2E9C-101B-9397-08002B2CF9AE}" pid="22" name="Исполнитель_Фамилия">
    <vt:lpwstr>Трушкова</vt:lpwstr>
  </property>
  <property fmtid="{D5CDD505-2E9C-101B-9397-08002B2CF9AE}" pid="23" name="Исполнитель_Имя">
    <vt:lpwstr>Вероника</vt:lpwstr>
  </property>
  <property fmtid="{D5CDD505-2E9C-101B-9397-08002B2CF9AE}" pid="24" name="Исполнитель_Отчество">
    <vt:lpwstr>Владимировна</vt:lpwstr>
  </property>
  <property fmtid="{D5CDD505-2E9C-101B-9397-08002B2CF9AE}" pid="25" name="Исполнитель_Фамилия_род">
    <vt:lpwstr>Трушковой</vt:lpwstr>
  </property>
  <property fmtid="{D5CDD505-2E9C-101B-9397-08002B2CF9AE}" pid="26" name="Исполнитель_Фамилия_дат">
    <vt:lpwstr>Трушковой</vt:lpwstr>
  </property>
  <property fmtid="{D5CDD505-2E9C-101B-9397-08002B2CF9AE}" pid="27" name="Исполнитель_Инициалы">
    <vt:lpwstr>В.В.</vt:lpwstr>
  </property>
  <property fmtid="{D5CDD505-2E9C-101B-9397-08002B2CF9AE}" pid="28" name="Исполнитель_Должность">
    <vt:lpwstr>Заместитель руководителя подразделения ИОГВ</vt:lpwstr>
  </property>
  <property fmtid="{D5CDD505-2E9C-101B-9397-08002B2CF9AE}" pid="29" name="Исполнитель_Должность_род">
    <vt:lpwstr>Заместитель руководителя подразделения ИОГВ</vt:lpwstr>
  </property>
  <property fmtid="{D5CDD505-2E9C-101B-9397-08002B2CF9AE}" pid="30" name="Исполнитель_Должность_дат">
    <vt:lpwstr>Заместитель руководителя подразделения ИОГВ</vt:lpwstr>
  </property>
  <property fmtid="{D5CDD505-2E9C-101B-9397-08002B2CF9AE}" pid="31" name="Исполнитель_Подразделение">
    <vt:lpwstr>21-02 Управление формирования и реализации политики в области энергетики и жилищно-коммунального комплекса</vt:lpwstr>
  </property>
  <property fmtid="{D5CDD505-2E9C-101B-9397-08002B2CF9AE}" pid="32" name="Исполнитель_Телефон">
    <vt:lpwstr>486-761</vt:lpwstr>
  </property>
  <property fmtid="{D5CDD505-2E9C-101B-9397-08002B2CF9AE}" pid="33" name="Регистрационный_номер">
    <vt:lpwstr>85-ПП</vt:lpwstr>
  </property>
  <property fmtid="{D5CDD505-2E9C-101B-9397-08002B2CF9AE}" pid="34" name="Дата_регистрации">
    <vt:filetime>2016-02-29T10:28:03Z</vt:filetime>
  </property>
  <property fmtid="{D5CDD505-2E9C-101B-9397-08002B2CF9AE}" pid="35" name="Получатель_ФИО">
    <vt:lpwstr>Гноевский В.Н.</vt:lpwstr>
  </property>
  <property fmtid="{D5CDD505-2E9C-101B-9397-08002B2CF9AE}" pid="36" name="Получатель_Фамилия">
    <vt:lpwstr>Гноевский</vt:lpwstr>
  </property>
  <property fmtid="{D5CDD505-2E9C-101B-9397-08002B2CF9AE}" pid="37" name="Получатель_Имя">
    <vt:lpwstr>Владимир</vt:lpwstr>
  </property>
  <property fmtid="{D5CDD505-2E9C-101B-9397-08002B2CF9AE}" pid="38" name="Получатель_Отчество">
    <vt:lpwstr>Николаевич</vt:lpwstr>
  </property>
  <property fmtid="{D5CDD505-2E9C-101B-9397-08002B2CF9AE}" pid="39" name="Получатель_Фамилия_род">
    <vt:lpwstr>Гноевского</vt:lpwstr>
  </property>
  <property fmtid="{D5CDD505-2E9C-101B-9397-08002B2CF9AE}" pid="40" name="Получатель_Фамилия_дат">
    <vt:lpwstr>Гноевскому</vt:lpwstr>
  </property>
  <property fmtid="{D5CDD505-2E9C-101B-9397-08002B2CF9AE}" pid="41" name="Получатель_Инициалы">
    <vt:lpwstr>В.Н.</vt:lpwstr>
  </property>
  <property fmtid="{D5CDD505-2E9C-101B-9397-08002B2CF9AE}" pid="42" name="Получатель_Должность">
    <vt:lpwstr>Министр</vt:lpwstr>
  </property>
  <property fmtid="{D5CDD505-2E9C-101B-9397-08002B2CF9AE}" pid="43" name="Получатель_Должность_род">
    <vt:lpwstr>Министр</vt:lpwstr>
  </property>
  <property fmtid="{D5CDD505-2E9C-101B-9397-08002B2CF9AE}" pid="44" name="Получатель_Должность_дат">
    <vt:lpwstr>Министр</vt:lpwstr>
  </property>
  <property fmtid="{D5CDD505-2E9C-101B-9397-08002B2CF9AE}" pid="45" name="Получатель_Подразделение">
    <vt:lpwstr>21-01 Руководство Министерства энергетики и жилищно-коммунального хозяйства Мурманской области</vt:lpwstr>
  </property>
  <property fmtid="{D5CDD505-2E9C-101B-9397-08002B2CF9AE}" pid="46" name="Получатель_Телефон">
    <vt:lpwstr>486-733</vt:lpwstr>
  </property>
</Properties>
</file>